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firstSheet="1" activeTab="2"/>
  </bookViews>
  <sheets>
    <sheet name="РЖ любители 100 кг." sheetId="1" r:id="rId1"/>
    <sheet name="РЖ любители 75 кг." sheetId="2" r:id="rId2"/>
    <sheet name="РЖ любители 55 кг." sheetId="3" r:id="rId3"/>
    <sheet name="РЖ любители 35 кг." sheetId="4" r:id="rId4"/>
    <sheet name="Пауэрспорт Профессионалы" sheetId="5" r:id="rId5"/>
    <sheet name="Пауэрспорт Любители" sheetId="6" r:id="rId6"/>
    <sheet name="Бицепс Профессионалы" sheetId="7" r:id="rId7"/>
    <sheet name="Бицепс Любители" sheetId="8" r:id="rId8"/>
    <sheet name="Проф. народный жим 1 вес" sheetId="9" r:id="rId9"/>
    <sheet name="Люб. народный жим 1 вес" sheetId="10" r:id="rId10"/>
    <sheet name="Двоеборье проф." sheetId="11" r:id="rId11"/>
    <sheet name="Двоеборье люб" sheetId="12" r:id="rId12"/>
    <sheet name="Люб. тяга б.э." sheetId="13" r:id="rId13"/>
    <sheet name="Люб. жим 1сл софт экип." sheetId="14" r:id="rId14"/>
    <sheet name="ПРО жим б.э." sheetId="15" r:id="rId15"/>
    <sheet name="Люб. жим б.э." sheetId="16" r:id="rId16"/>
    <sheet name="СОВ жим" sheetId="17" r:id="rId17"/>
    <sheet name="Люб. жим мн.слой" sheetId="18" r:id="rId18"/>
    <sheet name="ПРО Военный жим" sheetId="19" r:id="rId19"/>
    <sheet name="Люб. Военный жим" sheetId="20" r:id="rId20"/>
    <sheet name="Люб. Становое двоеборье" sheetId="21" r:id="rId21"/>
    <sheet name="РТ любители 100 кг." sheetId="22" r:id="rId22"/>
    <sheet name="РТ СОВ 150 кг." sheetId="23" r:id="rId23"/>
    <sheet name="РТ ПРО 200 кг." sheetId="24" r:id="rId24"/>
  </sheets>
  <definedNames/>
  <calcPr fullCalcOnLoad="1" refMode="R1C1"/>
</workbook>
</file>

<file path=xl/sharedStrings.xml><?xml version="1.0" encoding="utf-8"?>
<sst xmlns="http://schemas.openxmlformats.org/spreadsheetml/2006/main" count="1726" uniqueCount="505">
  <si>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</si>
  <si>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</si>
  <si>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</si>
  <si>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</si>
  <si>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</si>
  <si>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</si>
  <si>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</si>
  <si>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</si>
  <si>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</si>
  <si>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Кубок ЦФО по жиму лежа, становой тяге и другим силовым видам спорта
Любители военный жим
Курск/Курская область 20 - 21 июля 2019 г.</t>
  </si>
  <si>
    <t>Shv/Mel</t>
  </si>
  <si>
    <t>Жим лёжа</t>
  </si>
  <si>
    <t>ВЕСОВАЯ КАТЕГОРИЯ   82.5</t>
  </si>
  <si>
    <t>1. Захаров Иван</t>
  </si>
  <si>
    <t>Открытая (13.07.1984)/35</t>
  </si>
  <si>
    <t>81,70</t>
  </si>
  <si>
    <t xml:space="preserve">лично </t>
  </si>
  <si>
    <t xml:space="preserve">Курск/Курская область </t>
  </si>
  <si>
    <t>125,0</t>
  </si>
  <si>
    <t>130,0</t>
  </si>
  <si>
    <t>135,0</t>
  </si>
  <si>
    <t xml:space="preserve">Самостоятельно </t>
  </si>
  <si>
    <t>ВЕСОВАЯ КАТЕГОРИЯ   125</t>
  </si>
  <si>
    <t>1. Дорофеев Александр</t>
  </si>
  <si>
    <t>Открытая (26.02.1990)/29</t>
  </si>
  <si>
    <t>116,15</t>
  </si>
  <si>
    <t xml:space="preserve">Сталь-белогорья - Стальное звено </t>
  </si>
  <si>
    <t xml:space="preserve">Воронеж/Воронежская область </t>
  </si>
  <si>
    <t>170,0</t>
  </si>
  <si>
    <t>180,0</t>
  </si>
  <si>
    <t>187,5</t>
  </si>
  <si>
    <t>1. Яковлев Дмитрий</t>
  </si>
  <si>
    <t>Мастера 40 - 44 (02.02.1978)/41</t>
  </si>
  <si>
    <t>112,80</t>
  </si>
  <si>
    <t>162,5</t>
  </si>
  <si>
    <t>165,0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</si>
  <si>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</si>
  <si>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</si>
  <si>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</si>
  <si>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</si>
  <si>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</si>
  <si>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</si>
  <si>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</si>
  <si>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</si>
  <si>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</si>
  <si>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</si>
  <si>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</si>
  <si>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</si>
  <si>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</si>
  <si>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125</t>
  </si>
  <si>
    <t>Результат</t>
  </si>
  <si>
    <t>Кубок ЦФО по жиму лежа, становой тяге и другим силовым видам спорта
ПРО военный жим
Курск/Курская область 20 - 21 июля 2019 г.</t>
  </si>
  <si>
    <t>ВЕСОВАЯ КАТЕГОРИЯ   110</t>
  </si>
  <si>
    <t>1. Пелин Артем</t>
  </si>
  <si>
    <t>Открытая (28.01.1982)/37</t>
  </si>
  <si>
    <t>109,45</t>
  </si>
  <si>
    <t xml:space="preserve">Белгород/Белгородская область </t>
  </si>
  <si>
    <t>140,0</t>
  </si>
  <si>
    <t>156,0</t>
  </si>
  <si>
    <t>160,0</t>
  </si>
  <si>
    <t xml:space="preserve">Зенков Павел </t>
  </si>
  <si>
    <t>110</t>
  </si>
  <si>
    <t>Кубок ЦФО по жиму лежа, становой тяге и другим силовым видам спорта
Любители жим лежа в многослойной экипировке
Курск/Курская область 20 - 21 июля 2019 г.</t>
  </si>
  <si>
    <t>1. Чебанов Дмитрий</t>
  </si>
  <si>
    <t>Открытая (13.11.1998)/20</t>
  </si>
  <si>
    <t>80,85</t>
  </si>
  <si>
    <t xml:space="preserve">Викинги </t>
  </si>
  <si>
    <t xml:space="preserve">Карпачев Михаил Павлович </t>
  </si>
  <si>
    <t>ВЕСОВАЯ КАТЕГОРИЯ   100</t>
  </si>
  <si>
    <t>1. Карпачев Михаил</t>
  </si>
  <si>
    <t>Открытая (11.11.1959)/59</t>
  </si>
  <si>
    <t>99,60</t>
  </si>
  <si>
    <t>175,0</t>
  </si>
  <si>
    <t>182,5</t>
  </si>
  <si>
    <t>1. Калакуцкий Руслан</t>
  </si>
  <si>
    <t>Мастера 40 - 44 (22.04.1979)/40</t>
  </si>
  <si>
    <t>97,45</t>
  </si>
  <si>
    <t>250,0</t>
  </si>
  <si>
    <t>260,0</t>
  </si>
  <si>
    <t>ВЕСОВАЯ КАТЕГОРИЯ   140</t>
  </si>
  <si>
    <t>1. Виноходов Сергей</t>
  </si>
  <si>
    <t>Открытая (17.09.1982)/36</t>
  </si>
  <si>
    <t>127,00</t>
  </si>
  <si>
    <t>265,0</t>
  </si>
  <si>
    <t>100</t>
  </si>
  <si>
    <t>Кубок ЦФО по жиму лежа, становой тяге и другим силовым видам спорта
СОВ жим лежа
Курск/Курская область 20 - 21 июля 2019 г.</t>
  </si>
  <si>
    <t>ВЕСОВАЯ КАТЕГОРИЯ   60</t>
  </si>
  <si>
    <t>1. Любивый Дмитрий</t>
  </si>
  <si>
    <t>Мастера 40 - 44 (01.02.1976)/43</t>
  </si>
  <si>
    <t>58,75</t>
  </si>
  <si>
    <t>70,0</t>
  </si>
  <si>
    <t>75,0</t>
  </si>
  <si>
    <t>ВЕСОВАЯ КАТЕГОРИЯ   90</t>
  </si>
  <si>
    <t>1. Акатов Игорь</t>
  </si>
  <si>
    <t>Мастера 55 - 59 (02.11.1960)/58</t>
  </si>
  <si>
    <t>86,85</t>
  </si>
  <si>
    <t>100,0</t>
  </si>
  <si>
    <t>107,5</t>
  </si>
  <si>
    <t>110,0</t>
  </si>
  <si>
    <t>90</t>
  </si>
  <si>
    <t>60</t>
  </si>
  <si>
    <t>Кубок ЦФО по жиму лежа, становой тяге и другим силовым видам спорта
Любители жим лежа без экипировки
Курск/Курская область 20 - 21 июля 2019 г.</t>
  </si>
  <si>
    <t>ВЕСОВАЯ КАТЕГОРИЯ   52</t>
  </si>
  <si>
    <t>1. Руднева Марина</t>
  </si>
  <si>
    <t>Открытая (26.07.1990)/28</t>
  </si>
  <si>
    <t>51,60</t>
  </si>
  <si>
    <t xml:space="preserve">Авалон </t>
  </si>
  <si>
    <t>40,0</t>
  </si>
  <si>
    <t>45,0</t>
  </si>
  <si>
    <t>47,5</t>
  </si>
  <si>
    <t xml:space="preserve">Карякин Виталий Владимирович </t>
  </si>
  <si>
    <t>ВЕСОВАЯ КАТЕГОРИЯ   56</t>
  </si>
  <si>
    <t>1. Беседина Илона</t>
  </si>
  <si>
    <t>Открытая (18.09.1986)/32</t>
  </si>
  <si>
    <t>56,00</t>
  </si>
  <si>
    <t>50,0</t>
  </si>
  <si>
    <t>52,5</t>
  </si>
  <si>
    <t>1. Гостева Валентина</t>
  </si>
  <si>
    <t>Мастера 60 - 64 (07.08.1955)/63</t>
  </si>
  <si>
    <t>57,25</t>
  </si>
  <si>
    <t>62,5</t>
  </si>
  <si>
    <t>65,0</t>
  </si>
  <si>
    <t>67,5</t>
  </si>
  <si>
    <t xml:space="preserve">Дородных Владимир Николаевич </t>
  </si>
  <si>
    <t>ВЕСОВАЯ КАТЕГОРИЯ   67.5</t>
  </si>
  <si>
    <t>1. Дудакова Анастасия</t>
  </si>
  <si>
    <t>Юниорки 20 - 23 (27.12.1995)/23</t>
  </si>
  <si>
    <t>64,00</t>
  </si>
  <si>
    <t xml:space="preserve">Академия силы </t>
  </si>
  <si>
    <t xml:space="preserve">Курчатов/Курская область </t>
  </si>
  <si>
    <t>55,0</t>
  </si>
  <si>
    <t xml:space="preserve">Меркулов Виталий Валерьевич </t>
  </si>
  <si>
    <t>1. Шаров Никита</t>
  </si>
  <si>
    <t>Юноши 0-13 (28.04.2007)/12</t>
  </si>
  <si>
    <t>46,80</t>
  </si>
  <si>
    <t xml:space="preserve">Кислород </t>
  </si>
  <si>
    <t xml:space="preserve">Рязань/Рязанская область </t>
  </si>
  <si>
    <t>27,5</t>
  </si>
  <si>
    <t>32,5</t>
  </si>
  <si>
    <t>37,5</t>
  </si>
  <si>
    <t xml:space="preserve">Цирков Павел </t>
  </si>
  <si>
    <t>ВЕСОВАЯ КАТЕГОРИЯ   75</t>
  </si>
  <si>
    <t>1. Овчинников Евгений</t>
  </si>
  <si>
    <t>Открытая (11.08.1994)/24</t>
  </si>
  <si>
    <t>73,50</t>
  </si>
  <si>
    <t>120,0</t>
  </si>
  <si>
    <t>1. Рюмшин Вадим</t>
  </si>
  <si>
    <t>Юниоры 20 - 23 (03.04.1997)/22</t>
  </si>
  <si>
    <t>89,10</t>
  </si>
  <si>
    <t>155,0</t>
  </si>
  <si>
    <t xml:space="preserve">Ковалев Андрей </t>
  </si>
  <si>
    <t>1. Обухов Игорь</t>
  </si>
  <si>
    <t>Открытая (07.11.1990)/28</t>
  </si>
  <si>
    <t>87,75</t>
  </si>
  <si>
    <t>2. Лашкевич Евгений</t>
  </si>
  <si>
    <t>Открытая (22.06.1988)/31</t>
  </si>
  <si>
    <t>86,70</t>
  </si>
  <si>
    <t>150,0</t>
  </si>
  <si>
    <t xml:space="preserve">Огурцова Юлия Игоревна </t>
  </si>
  <si>
    <t>1. Прилепский Антон</t>
  </si>
  <si>
    <t>Юниоры 20 - 23 (28.05.1998)/21</t>
  </si>
  <si>
    <t>97,30</t>
  </si>
  <si>
    <t>152,5</t>
  </si>
  <si>
    <t>1. Шевченко Александр</t>
  </si>
  <si>
    <t>Открытая (30.01.1989)/30</t>
  </si>
  <si>
    <t>93,90</t>
  </si>
  <si>
    <t xml:space="preserve">Сталь </t>
  </si>
  <si>
    <t xml:space="preserve">Брянск/Брянская область </t>
  </si>
  <si>
    <t xml:space="preserve">Шерман Дмитрий </t>
  </si>
  <si>
    <t>1. Меркулов Виталий</t>
  </si>
  <si>
    <t>Открытая (11.06.1990)/29</t>
  </si>
  <si>
    <t>107,30</t>
  </si>
  <si>
    <t>185,0</t>
  </si>
  <si>
    <t>190,0</t>
  </si>
  <si>
    <t>2. Жегульский Алексей</t>
  </si>
  <si>
    <t>Открытая (01.01.1984)/35</t>
  </si>
  <si>
    <t>121,00</t>
  </si>
  <si>
    <t xml:space="preserve"> </t>
  </si>
  <si>
    <t>3. Михеев Максим</t>
  </si>
  <si>
    <t>Открытая (13.08.1987)/31</t>
  </si>
  <si>
    <t>116,30</t>
  </si>
  <si>
    <t>147,5</t>
  </si>
  <si>
    <t xml:space="preserve">Беловал Евгений </t>
  </si>
  <si>
    <t xml:space="preserve">Женщины </t>
  </si>
  <si>
    <t xml:space="preserve">Юниоры 20 - 23 </t>
  </si>
  <si>
    <t>67.5</t>
  </si>
  <si>
    <t>56</t>
  </si>
  <si>
    <t>100,7665</t>
  </si>
  <si>
    <t>95,1200</t>
  </si>
  <si>
    <t>94,6800</t>
  </si>
  <si>
    <t>89,8650</t>
  </si>
  <si>
    <t>81,0150</t>
  </si>
  <si>
    <t>79,9960</t>
  </si>
  <si>
    <t>78,2045</t>
  </si>
  <si>
    <t>75</t>
  </si>
  <si>
    <t>74,2720</t>
  </si>
  <si>
    <t>Кубок ЦФО по жиму лежа, становой тяге и другим силовым видам спорта
ПРО жим лежа без экипировки
Курск/Курская область 20 - 21 июля 2019 г.</t>
  </si>
  <si>
    <t>1. Половков Михаил</t>
  </si>
  <si>
    <t>Открытая (09.10.1977)/41</t>
  </si>
  <si>
    <t>111,00</t>
  </si>
  <si>
    <t>192,5</t>
  </si>
  <si>
    <t>Мастера 40 - 44 (09.10.1977)/41</t>
  </si>
  <si>
    <t>1. Душевин Евгений</t>
  </si>
  <si>
    <t>Юниоры 20 - 23 (20.08.1995)/23</t>
  </si>
  <si>
    <t>81,65</t>
  </si>
  <si>
    <t xml:space="preserve">Ливны/Орловская область </t>
  </si>
  <si>
    <t>Кубок ЦФО по жиму лежа, становой тяге и другим силовым видам спорта
Любители становая тяга без экипировки
Курск/Курская область 20 - 21 июля 2019 г.</t>
  </si>
  <si>
    <t>Становая тяга</t>
  </si>
  <si>
    <t>ВЕСОВАЯ КАТЕГОРИЯ   48</t>
  </si>
  <si>
    <t>1. Луценко Анастасия</t>
  </si>
  <si>
    <t>Юниорки 20 - 23 (27.10.1998)/20</t>
  </si>
  <si>
    <t>47,05</t>
  </si>
  <si>
    <t>85,0</t>
  </si>
  <si>
    <t>95,0</t>
  </si>
  <si>
    <t>1. Шевченко Екатерина</t>
  </si>
  <si>
    <t>Открытая (07.07.1995)/24</t>
  </si>
  <si>
    <t>54,95</t>
  </si>
  <si>
    <t>72,5</t>
  </si>
  <si>
    <t>77,5</t>
  </si>
  <si>
    <t>1. Ляхова Полина</t>
  </si>
  <si>
    <t>Открытая (22.06.1993)/26</t>
  </si>
  <si>
    <t>58,20</t>
  </si>
  <si>
    <t>112,5</t>
  </si>
  <si>
    <t>2. Змиевская Татьяна</t>
  </si>
  <si>
    <t>Открытая (12.09.1990)/28</t>
  </si>
  <si>
    <t>58,50</t>
  </si>
  <si>
    <t>105,0</t>
  </si>
  <si>
    <t>115,0</t>
  </si>
  <si>
    <t>92,5</t>
  </si>
  <si>
    <t>1. Ельникова Марина</t>
  </si>
  <si>
    <t>Открытая (26.04.1987)/32</t>
  </si>
  <si>
    <t>65,40</t>
  </si>
  <si>
    <t>2. Михайлова Наталия</t>
  </si>
  <si>
    <t>Открытая (25.02.1998)/21</t>
  </si>
  <si>
    <t>65,80</t>
  </si>
  <si>
    <t>1. Скляр Елена</t>
  </si>
  <si>
    <t>Мастера 40 - 44 (10.02.1978)/41</t>
  </si>
  <si>
    <t>64,65</t>
  </si>
  <si>
    <t>87,5</t>
  </si>
  <si>
    <t>1. Хващинская Ирина</t>
  </si>
  <si>
    <t>Мастера 45 - 49 (13.11.1971)/47</t>
  </si>
  <si>
    <t>66,35</t>
  </si>
  <si>
    <t>117,5</t>
  </si>
  <si>
    <t>1. Звягинцева Елена</t>
  </si>
  <si>
    <t>Открытая (24.05.1974)/45</t>
  </si>
  <si>
    <t>68,50</t>
  </si>
  <si>
    <t>2. Хохлова Анастасия</t>
  </si>
  <si>
    <t>Открытая (28.12.1991)/27</t>
  </si>
  <si>
    <t>74,95</t>
  </si>
  <si>
    <t>127,5</t>
  </si>
  <si>
    <t>132,5</t>
  </si>
  <si>
    <t>Мастера 45 - 49 (24.05.1974)/45</t>
  </si>
  <si>
    <t>80,0</t>
  </si>
  <si>
    <t>1. Пономарев Сергей</t>
  </si>
  <si>
    <t>Юноши 14-15 (20.03.2005)/14</t>
  </si>
  <si>
    <t>59,90</t>
  </si>
  <si>
    <t>90,0</t>
  </si>
  <si>
    <t>1. Максимов Андрей</t>
  </si>
  <si>
    <t>Открытая (24.10.1991)/27</t>
  </si>
  <si>
    <t>200,0</t>
  </si>
  <si>
    <t>1. Яцкий Алексей</t>
  </si>
  <si>
    <t>Юноши 18 - 19 (12.01.2001)/18</t>
  </si>
  <si>
    <t>72,45</t>
  </si>
  <si>
    <t>145,0</t>
  </si>
  <si>
    <t>157,5</t>
  </si>
  <si>
    <t>1. Мирзоян Артур</t>
  </si>
  <si>
    <t>Юноши 14-15 (25.11.2004)/14</t>
  </si>
  <si>
    <t>79,65</t>
  </si>
  <si>
    <t>1. Горшков Евгений</t>
  </si>
  <si>
    <t>Открытая (13.11.1981)/37</t>
  </si>
  <si>
    <t>77,30</t>
  </si>
  <si>
    <t xml:space="preserve">Смоленск/Смоленская область </t>
  </si>
  <si>
    <t>270,0</t>
  </si>
  <si>
    <t>280,0</t>
  </si>
  <si>
    <t>2. Поляков Павел</t>
  </si>
  <si>
    <t>Открытая (13.07.1993)/26</t>
  </si>
  <si>
    <t>79,40</t>
  </si>
  <si>
    <t>210,0</t>
  </si>
  <si>
    <t>217,5</t>
  </si>
  <si>
    <t>220,0</t>
  </si>
  <si>
    <t>1. Яковлев Александр</t>
  </si>
  <si>
    <t>Юноши 16 - 17 (24.12.2001)/17</t>
  </si>
  <si>
    <t>86,55</t>
  </si>
  <si>
    <t>172,5</t>
  </si>
  <si>
    <t>197,5</t>
  </si>
  <si>
    <t>255,0</t>
  </si>
  <si>
    <t>262,5</t>
  </si>
  <si>
    <t>1. Бобович Валерий</t>
  </si>
  <si>
    <t>Мастера 50 - 54 (16.08.1966)/52</t>
  </si>
  <si>
    <t>105,15</t>
  </si>
  <si>
    <t>48</t>
  </si>
  <si>
    <t>75,4199</t>
  </si>
  <si>
    <t>100,1130</t>
  </si>
  <si>
    <t>100,0625</t>
  </si>
  <si>
    <t>99,3544</t>
  </si>
  <si>
    <t>98,9325</t>
  </si>
  <si>
    <t>92,0932</t>
  </si>
  <si>
    <t>83,6220</t>
  </si>
  <si>
    <t>67,1567</t>
  </si>
  <si>
    <t>Кубок ЦФО по жиму лежа, становой тяге и другим силовым видам спорта
Силовое двоеборье любители
Курск/Курская область 20 - 21 июля 2019 г.</t>
  </si>
  <si>
    <t>1. Конкин Сергей</t>
  </si>
  <si>
    <t>Юноши 16 - 17 (08.10.2002)/16</t>
  </si>
  <si>
    <t>67,45</t>
  </si>
  <si>
    <t>1. Алиев Магомед</t>
  </si>
  <si>
    <t>Открытая (04.09.1991)/27</t>
  </si>
  <si>
    <t>67,20</t>
  </si>
  <si>
    <t xml:space="preserve">Тула/Тульская область </t>
  </si>
  <si>
    <t>1. Попов Григорий</t>
  </si>
  <si>
    <t>Открытая (17.01.1981)/38</t>
  </si>
  <si>
    <t>98,65</t>
  </si>
  <si>
    <t>215,0</t>
  </si>
  <si>
    <t>225,0</t>
  </si>
  <si>
    <t>2. Гришин Илья</t>
  </si>
  <si>
    <t>Открытая (01.03.1993)/26</t>
  </si>
  <si>
    <t>94,60</t>
  </si>
  <si>
    <t>1. Жегульский Алексей</t>
  </si>
  <si>
    <t>230,0</t>
  </si>
  <si>
    <t>412,5</t>
  </si>
  <si>
    <t>222,7912</t>
  </si>
  <si>
    <t>410,0</t>
  </si>
  <si>
    <t>215,6600</t>
  </si>
  <si>
    <t>355,0</t>
  </si>
  <si>
    <t>197,8770</t>
  </si>
  <si>
    <t>240,0</t>
  </si>
  <si>
    <t>174,8880</t>
  </si>
  <si>
    <t>275,0</t>
  </si>
  <si>
    <t>156,5025</t>
  </si>
  <si>
    <t>Кубок ЦФО по жиму лежа, становой тяге и другим силовым видам спорта
Силовое двоеборье профессионалы
Курск/Курская область 20 - 21 июля 2019 г.</t>
  </si>
  <si>
    <t>1. Беглов Юрий</t>
  </si>
  <si>
    <t>Мастера 50 - 54 (06.05.1965)/54</t>
  </si>
  <si>
    <t>78,10</t>
  </si>
  <si>
    <t>235,0</t>
  </si>
  <si>
    <t>Кубок ЦФО по жиму лежа, становой тяге и другим силовым видам спорта
Любители народный жим (1 вес)
Курск/Курская область 20 - 21 июля 2019 г.</t>
  </si>
  <si>
    <t>НАП Н.Ж.</t>
  </si>
  <si>
    <t>18,0</t>
  </si>
  <si>
    <t>Жим мн. повт.</t>
  </si>
  <si>
    <t>Вес</t>
  </si>
  <si>
    <t>Повторы</t>
  </si>
  <si>
    <t>Тоннаж</t>
  </si>
  <si>
    <t>Кубок ЦФО по жиму лежа, становой тяге и другим силовым видам спорта
Профессионалы народный жим (1 вес)
Курск/Курская область 20 - 21 июля 2019 г.</t>
  </si>
  <si>
    <t>1. Клюев Игорь</t>
  </si>
  <si>
    <t>Открытая (04.04.1989)/30</t>
  </si>
  <si>
    <t>85,00</t>
  </si>
  <si>
    <t>32,0</t>
  </si>
  <si>
    <t>Кубок ЦФО по жиму лежа, становой тяге и другим силовым видам спорта
Одиночный подъём штанги на бицепс Любители
Курск/Курская область 20 - 21 июля 2019 г.</t>
  </si>
  <si>
    <t>Подъем на бицепс</t>
  </si>
  <si>
    <t>-. Дудакова Анастасия</t>
  </si>
  <si>
    <t>64,50</t>
  </si>
  <si>
    <t>30,0</t>
  </si>
  <si>
    <t>1. Готраш Николай</t>
  </si>
  <si>
    <t>Юноши 16 - 17 (17.04.2003)/16</t>
  </si>
  <si>
    <t>55,40</t>
  </si>
  <si>
    <t xml:space="preserve">Теткино/Курская область </t>
  </si>
  <si>
    <t>57,5</t>
  </si>
  <si>
    <t>1. Зубарев Андрей</t>
  </si>
  <si>
    <t>Открытая (06.01.1985)/34</t>
  </si>
  <si>
    <t>73,70</t>
  </si>
  <si>
    <t>60,0</t>
  </si>
  <si>
    <t xml:space="preserve">Рядинский Денис Юрьевич </t>
  </si>
  <si>
    <t>1. Горбик Владимир</t>
  </si>
  <si>
    <t>Мастера 40 - 44 (06.01.1978)/41</t>
  </si>
  <si>
    <t>83,70</t>
  </si>
  <si>
    <t>1. Головачев Игорь</t>
  </si>
  <si>
    <t>Юниоры 20 - 23 (26.01.1997)/22</t>
  </si>
  <si>
    <t>93,80</t>
  </si>
  <si>
    <t>103,70</t>
  </si>
  <si>
    <t>82,5</t>
  </si>
  <si>
    <t>Кубок ЦФО по жиму лежа, становой тяге и другим силовым видам спорта
Одиночный подъём штанги на бицепс Профессионалы
Курск/Курская область 20 - 21 июля 2019 г.</t>
  </si>
  <si>
    <t>1. Осетров Евгений</t>
  </si>
  <si>
    <t>Юниоры 20 - 23 (03.03.1996)/23</t>
  </si>
  <si>
    <t>79,20</t>
  </si>
  <si>
    <t>1. Рядинский Денис</t>
  </si>
  <si>
    <t>Открытая (06.07.1985)/34</t>
  </si>
  <si>
    <t>83,30</t>
  </si>
  <si>
    <t xml:space="preserve">Трунов Михаил Васильевич </t>
  </si>
  <si>
    <t>1. Трофимов Дмитрий</t>
  </si>
  <si>
    <t>Мастера 45 - 49 (18.02.1974)/45</t>
  </si>
  <si>
    <t>86,40</t>
  </si>
  <si>
    <t>Кубок ЦФО по жиму лежа, становой тяге и другим силовым видам спорта
Пауэрспорт Любители
Курск/Курская область 20 - 21 июля 2019 г.</t>
  </si>
  <si>
    <t>Жим стоя</t>
  </si>
  <si>
    <t>1. Аболмасов Никита</t>
  </si>
  <si>
    <t>Юноши 14-15 (26.10.2003)/15</t>
  </si>
  <si>
    <t xml:space="preserve">Щигры/Курская область </t>
  </si>
  <si>
    <t>42,5</t>
  </si>
  <si>
    <t>35,0</t>
  </si>
  <si>
    <t xml:space="preserve">Рубцов Сергей Иванович </t>
  </si>
  <si>
    <t>Кубок ЦФО по жиму лежа, становой тяге и другим силовым видам спорта
Пауэрспорт Профессионалы
Курск/Курская область 20 - 21 июля 2019 г.</t>
  </si>
  <si>
    <t>Кубок ЦФО по жиму лежа, становой тяге и другим силовым видам спорта
Русский жим любители 35 кг.
Курск/Курская область 20 - 21 июля 2019 г.</t>
  </si>
  <si>
    <t>Атлетизм</t>
  </si>
  <si>
    <t>ВЕСОВАЯ КАТЕГОРИЯ   All</t>
  </si>
  <si>
    <t>1. Кельина Татьяна</t>
  </si>
  <si>
    <t>Открытая (25.03.1985)/34</t>
  </si>
  <si>
    <t>25,0</t>
  </si>
  <si>
    <t>Кубок ЦФО по жиму лежа, становой тяге и другим силовым видам спорта
Русский жим любители 55 кг.
Курск/Курская область 20 - 21 июля 2019 г.</t>
  </si>
  <si>
    <t>1. Киян Андрей</t>
  </si>
  <si>
    <t>Открытая (17.06.1974)/45</t>
  </si>
  <si>
    <t>94,15</t>
  </si>
  <si>
    <t xml:space="preserve">Голованов Александр </t>
  </si>
  <si>
    <t>2. Найденов Андрей</t>
  </si>
  <si>
    <t>Открытая (14.03.1981)/38</t>
  </si>
  <si>
    <t>80,50</t>
  </si>
  <si>
    <t xml:space="preserve">Росгвардия </t>
  </si>
  <si>
    <t xml:space="preserve">Косинов Олег </t>
  </si>
  <si>
    <t>Кубок ЦФО по жиму лежа, становой тяге и другим силовым видам спорта
Русский жим любители 75 кг.
Курск/Курская область 20 - 21 июля 2019 г.</t>
  </si>
  <si>
    <t>1. Малышев Евгений</t>
  </si>
  <si>
    <t>Мастера 45 - 49 (02.12.1972)/46</t>
  </si>
  <si>
    <t>83,50</t>
  </si>
  <si>
    <t>33,0</t>
  </si>
  <si>
    <t>Кубок ЦФО по жиму лежа, становой тяге и другим силовым видам спорта
Русский жим любители 100 кг.
Курск/Курская область 20 - 21 июля 2019 г.</t>
  </si>
  <si>
    <t>29,0</t>
  </si>
  <si>
    <t>2. Михеев Максим</t>
  </si>
  <si>
    <t>19,0</t>
  </si>
  <si>
    <t>Кубок ЦФО по жиму лежа, становой тяге и другим силовым видам спорта
Любители жим лежа в 1 слойной софт экипировке
Курск/Курская область 20 - 21 июля 2019 г.</t>
  </si>
  <si>
    <t>Крузина Ася</t>
  </si>
  <si>
    <t>Иванов Сергей</t>
  </si>
  <si>
    <t>Алмосов Александр</t>
  </si>
  <si>
    <t>Гурный Никита</t>
  </si>
  <si>
    <t>Карякин Виталий</t>
  </si>
  <si>
    <t>Дегтярев Дмитрий</t>
  </si>
  <si>
    <t>Кубок ЦФО по жиму лежа, становой тяге и другим силовым видам спорта
Становое двоеборье любители
Курск/Курская область 20 - 21 июля 2019 г.</t>
  </si>
  <si>
    <t>Тяга сумо</t>
  </si>
  <si>
    <t>Классическая тяга</t>
  </si>
  <si>
    <t>1. Змиевская Татьяна</t>
  </si>
  <si>
    <t>212,5</t>
  </si>
  <si>
    <t>186,8725</t>
  </si>
  <si>
    <t>1. Грачев Николай</t>
  </si>
  <si>
    <t>Открытая (16.04.1956)/63</t>
  </si>
  <si>
    <t>Мастера (16.04.1956)/63</t>
  </si>
  <si>
    <t>49,82</t>
  </si>
  <si>
    <t>Лично</t>
  </si>
  <si>
    <t>2300</t>
  </si>
  <si>
    <t>1. Лепин Никита</t>
  </si>
  <si>
    <t>ВЕСОВАЯ КАТЕГОРИЯ   67,5</t>
  </si>
  <si>
    <t>Липецк/Липецкая область</t>
  </si>
  <si>
    <t>Юноши (06.02.2002)/17</t>
  </si>
  <si>
    <t>66,85</t>
  </si>
  <si>
    <t>Авалон</t>
  </si>
  <si>
    <t>Курск/Курская область</t>
  </si>
  <si>
    <t>3800</t>
  </si>
  <si>
    <t>1. Митрофанов Игорь</t>
  </si>
  <si>
    <t>Мастера (06.11.1978)/40</t>
  </si>
  <si>
    <t>74,35</t>
  </si>
  <si>
    <t>Иваново/Ивановская область</t>
  </si>
  <si>
    <t>2800</t>
  </si>
  <si>
    <t>Самостоятельно</t>
  </si>
  <si>
    <t>1. Сапегин Юрий</t>
  </si>
  <si>
    <t>Открытая (13.09.1993)/25</t>
  </si>
  <si>
    <t>78,75</t>
  </si>
  <si>
    <t>Академия силы</t>
  </si>
  <si>
    <t>Курчатов/Курская область</t>
  </si>
  <si>
    <t>ВЕСОВАЯ КАТЕГОРИЯ   82,5</t>
  </si>
  <si>
    <t>4600</t>
  </si>
  <si>
    <t>2. Обухов Игорь</t>
  </si>
  <si>
    <t>88,05</t>
  </si>
  <si>
    <t>4200</t>
  </si>
  <si>
    <t>Открытая (13.06.1985)/34</t>
  </si>
  <si>
    <t>87,80</t>
  </si>
  <si>
    <t>2. Карякин Виталий</t>
  </si>
  <si>
    <t>1. Кузнецов Юрий</t>
  </si>
  <si>
    <t>87,25</t>
  </si>
  <si>
    <t>6000</t>
  </si>
  <si>
    <t>Бурдуков Павел Павлович</t>
  </si>
  <si>
    <t>Мастера (1961)/58</t>
  </si>
  <si>
    <t>Кубок ЦФО по жиму лежа, становой тяге и другим силовым видам спорта
Русская тяга любители 100 кг.
Курск/Курская область 20 - 21 июля 2019 г.</t>
  </si>
  <si>
    <t>Кубок ЦФО по жиму лежа, становой тяге и другим силовым видам спорта
Русская тяга профессионалы 200 кг.
Курск/Курская область 20 - 21 июля 2019 г.</t>
  </si>
  <si>
    <t>Мастера (06.05.1965)/54</t>
  </si>
  <si>
    <t>200</t>
  </si>
  <si>
    <t>1600</t>
  </si>
  <si>
    <t>Кубок ЦФО по жиму лежа, становой тяге и другим силовым видам спорта
Русская тяга СОВ 150 кг.
Курск/Курская область 20 - 21 июля 2019 г.</t>
  </si>
  <si>
    <t>1. Новиков Денис</t>
  </si>
  <si>
    <t>Открытая (14.08.1997)/21</t>
  </si>
  <si>
    <t>150</t>
  </si>
  <si>
    <t>3450</t>
  </si>
  <si>
    <t>89,30</t>
  </si>
  <si>
    <t>Немчинов Алексей Михайлович</t>
  </si>
  <si>
    <t>Немчинов Александр Михайлович</t>
  </si>
  <si>
    <t>Шерман Дмитрий Владимирович</t>
  </si>
  <si>
    <t>Ковалев Андрей Михайлович</t>
  </si>
  <si>
    <t>Ляхова Полина Сергеевна</t>
  </si>
  <si>
    <t>Атменеев Виталий Александрович</t>
  </si>
  <si>
    <t>42,4410</t>
  </si>
  <si>
    <t>91,2795</t>
  </si>
  <si>
    <t>85,5525</t>
  </si>
  <si>
    <t>99,8640</t>
  </si>
  <si>
    <t>2. Ельникова Марина</t>
  </si>
  <si>
    <t>3. Луценко Анастасия</t>
  </si>
  <si>
    <t>4. Ляхова Полина</t>
  </si>
  <si>
    <t>5. Змиевская Татьяна</t>
  </si>
  <si>
    <t>6. Хохлова Анастасия</t>
  </si>
  <si>
    <t>7. Михайлова Наталия</t>
  </si>
  <si>
    <t>8. Дудакова Анастасия</t>
  </si>
  <si>
    <t>9. Шевченко Екатерина</t>
  </si>
  <si>
    <t>3. Жегульский Алексей</t>
  </si>
  <si>
    <t>4. Рюмшин Вадим</t>
  </si>
  <si>
    <t>5. Лашкевич Евгений</t>
  </si>
  <si>
    <t>6. Прилепский Антон</t>
  </si>
  <si>
    <t>7. Меркулов Виталий</t>
  </si>
  <si>
    <t>8. Шевченко Александр</t>
  </si>
  <si>
    <t>9. Михеев Максим</t>
  </si>
  <si>
    <t>10. Овчинников Евгений</t>
  </si>
  <si>
    <t>3. Попов Григорий</t>
  </si>
  <si>
    <t>4. Алиев Магомед</t>
  </si>
  <si>
    <t>5. Гришин Илья</t>
  </si>
  <si>
    <t>207,380</t>
  </si>
  <si>
    <t>19525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</si>
</sst>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/>
    </xf>
    <xf numFmtId="49" fontId="0" fillId="0" borderId="12" xfId="0" applyNumberForma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32" sqref="B32"/>
    </sheetView>
  </sheetViews>
  <sheetFormatPr defaultColWidth="9.1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31.75390625" style="4" bestFit="1" customWidth="1"/>
    <col min="6" max="6" width="29.00390625" style="4" bestFit="1" customWidth="1"/>
    <col min="7" max="7" width="5.625" style="3" bestFit="1" customWidth="1"/>
    <col min="8" max="8" width="4.625" style="29" bestFit="1" customWidth="1"/>
    <col min="9" max="9" width="7.875" style="4" bestFit="1" customWidth="1"/>
    <col min="10" max="10" width="7.625" style="3" bestFit="1" customWidth="1"/>
    <col min="11" max="11" width="16.625" style="4" bestFit="1" customWidth="1"/>
    <col min="12" max="16384" width="9.125" style="3" customWidth="1"/>
  </cols>
  <sheetData>
    <row r="1" spans="1:11" s="2" customFormat="1" ht="28.5" customHeight="1">
      <c r="A1" s="42" t="s">
        <v>408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>
      <c r="A3" s="48" t="s">
        <v>0</v>
      </c>
      <c r="B3" s="50" t="s">
        <v>6</v>
      </c>
      <c r="C3" s="50" t="s">
        <v>7</v>
      </c>
      <c r="D3" s="36" t="s">
        <v>388</v>
      </c>
      <c r="E3" s="36" t="s">
        <v>4</v>
      </c>
      <c r="F3" s="36" t="s">
        <v>8</v>
      </c>
      <c r="G3" s="36" t="s">
        <v>335</v>
      </c>
      <c r="H3" s="36"/>
      <c r="I3" s="36" t="s">
        <v>338</v>
      </c>
      <c r="J3" s="36" t="s">
        <v>3</v>
      </c>
      <c r="K3" s="38" t="s">
        <v>2</v>
      </c>
    </row>
    <row r="4" spans="1:11" s="1" customFormat="1" ht="21" customHeight="1" thickBot="1">
      <c r="A4" s="49"/>
      <c r="B4" s="37"/>
      <c r="C4" s="37"/>
      <c r="D4" s="37"/>
      <c r="E4" s="37"/>
      <c r="F4" s="37"/>
      <c r="G4" s="5" t="s">
        <v>336</v>
      </c>
      <c r="H4" s="27" t="s">
        <v>337</v>
      </c>
      <c r="I4" s="37"/>
      <c r="J4" s="37"/>
      <c r="K4" s="39"/>
    </row>
    <row r="5" spans="1:10" ht="15">
      <c r="A5" s="40" t="s">
        <v>389</v>
      </c>
      <c r="B5" s="41"/>
      <c r="C5" s="41"/>
      <c r="D5" s="41"/>
      <c r="E5" s="41"/>
      <c r="F5" s="41"/>
      <c r="G5" s="41"/>
      <c r="H5" s="41"/>
      <c r="I5" s="41"/>
      <c r="J5" s="41"/>
    </row>
    <row r="6" spans="1:11" ht="12.75">
      <c r="A6" s="10" t="s">
        <v>23</v>
      </c>
      <c r="B6" s="10" t="s">
        <v>24</v>
      </c>
      <c r="C6" s="10" t="s">
        <v>25</v>
      </c>
      <c r="D6" s="10" t="str">
        <f>"1,0000"</f>
        <v>1,0000</v>
      </c>
      <c r="E6" s="10" t="s">
        <v>26</v>
      </c>
      <c r="F6" s="10" t="s">
        <v>27</v>
      </c>
      <c r="G6" s="12" t="s">
        <v>96</v>
      </c>
      <c r="H6" s="30" t="s">
        <v>409</v>
      </c>
      <c r="I6" s="10" t="str">
        <f>"2900,0"</f>
        <v>2900,0</v>
      </c>
      <c r="J6" s="12" t="str">
        <f>"24,9677"</f>
        <v>24,9677</v>
      </c>
      <c r="K6" s="10" t="s">
        <v>21</v>
      </c>
    </row>
    <row r="7" spans="1:11" ht="12.75">
      <c r="A7" s="13" t="s">
        <v>410</v>
      </c>
      <c r="B7" s="13" t="s">
        <v>179</v>
      </c>
      <c r="C7" s="13" t="s">
        <v>180</v>
      </c>
      <c r="D7" s="13" t="str">
        <f>"1,0000"</f>
        <v>1,0000</v>
      </c>
      <c r="E7" s="13" t="s">
        <v>166</v>
      </c>
      <c r="F7" s="13" t="s">
        <v>167</v>
      </c>
      <c r="G7" s="15" t="s">
        <v>96</v>
      </c>
      <c r="H7" s="31" t="s">
        <v>411</v>
      </c>
      <c r="I7" s="13" t="str">
        <f>"1900,0"</f>
        <v>1900,0</v>
      </c>
      <c r="J7" s="15" t="str">
        <f>"16,3370"</f>
        <v>16,3370</v>
      </c>
      <c r="K7" s="13" t="s">
        <v>182</v>
      </c>
    </row>
    <row r="9" spans="5:6" ht="15">
      <c r="E9" s="16" t="s">
        <v>36</v>
      </c>
      <c r="F9" s="16" t="s">
        <v>413</v>
      </c>
    </row>
    <row r="10" spans="5:6" ht="15">
      <c r="E10" s="16" t="s">
        <v>37</v>
      </c>
      <c r="F10" s="16" t="s">
        <v>414</v>
      </c>
    </row>
    <row r="11" spans="5:6" ht="15">
      <c r="E11" s="16" t="s">
        <v>38</v>
      </c>
      <c r="F11" s="16" t="s">
        <v>415</v>
      </c>
    </row>
    <row r="12" spans="5:6" ht="15">
      <c r="E12" s="16" t="s">
        <v>39</v>
      </c>
      <c r="F12" s="16" t="s">
        <v>416</v>
      </c>
    </row>
    <row r="13" spans="5:6" ht="15">
      <c r="E13" s="16" t="s">
        <v>39</v>
      </c>
      <c r="F13" s="16" t="s">
        <v>417</v>
      </c>
    </row>
    <row r="14" spans="5:6" ht="15">
      <c r="E14" s="16" t="s">
        <v>40</v>
      </c>
      <c r="F14" s="16" t="s">
        <v>418</v>
      </c>
    </row>
    <row r="15" ht="15">
      <c r="E15" s="16"/>
    </row>
    <row r="17" spans="1:2" ht="18">
      <c r="A17" s="17"/>
      <c r="B17" s="17"/>
    </row>
    <row r="18" spans="1:2" ht="15">
      <c r="A18" s="18"/>
      <c r="B18" s="18"/>
    </row>
    <row r="19" spans="1:2" ht="14.25">
      <c r="A19" s="20"/>
      <c r="B19" s="21"/>
    </row>
    <row r="20" spans="1:5" ht="15">
      <c r="A20" s="1"/>
      <c r="B20" s="1"/>
      <c r="C20" s="1"/>
      <c r="D20" s="1"/>
      <c r="E20" s="1"/>
    </row>
    <row r="21" spans="1:5" ht="12.75">
      <c r="A21" s="19"/>
      <c r="E21" s="23"/>
    </row>
    <row r="22" spans="1:5" ht="12.75">
      <c r="A22" s="19"/>
      <c r="E22" s="23"/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B11" sqref="B11"/>
    </sheetView>
  </sheetViews>
  <sheetFormatPr defaultColWidth="9.1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24.125" style="4" bestFit="1" customWidth="1"/>
    <col min="7" max="7" width="4.625" style="3" bestFit="1" customWidth="1"/>
    <col min="8" max="8" width="4.625" style="29" bestFit="1" customWidth="1"/>
    <col min="9" max="9" width="7.875" style="4" bestFit="1" customWidth="1"/>
    <col min="10" max="10" width="9.625" style="3" bestFit="1" customWidth="1"/>
    <col min="11" max="11" width="16.375" style="4" bestFit="1" customWidth="1"/>
    <col min="12" max="16384" width="9.125" style="3" customWidth="1"/>
  </cols>
  <sheetData>
    <row r="1" spans="1:11" s="2" customFormat="1" ht="28.5" customHeight="1">
      <c r="A1" s="42" t="s">
        <v>332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>
      <c r="A3" s="48" t="s">
        <v>0</v>
      </c>
      <c r="B3" s="50" t="s">
        <v>6</v>
      </c>
      <c r="C3" s="50" t="s">
        <v>7</v>
      </c>
      <c r="D3" s="36" t="s">
        <v>333</v>
      </c>
      <c r="E3" s="36" t="s">
        <v>4</v>
      </c>
      <c r="F3" s="36" t="s">
        <v>8</v>
      </c>
      <c r="G3" s="36" t="s">
        <v>335</v>
      </c>
      <c r="H3" s="36"/>
      <c r="I3" s="36" t="s">
        <v>338</v>
      </c>
      <c r="J3" s="36" t="s">
        <v>3</v>
      </c>
      <c r="K3" s="38" t="s">
        <v>2</v>
      </c>
    </row>
    <row r="4" spans="1:11" s="1" customFormat="1" ht="21" customHeight="1" thickBot="1">
      <c r="A4" s="49"/>
      <c r="B4" s="37"/>
      <c r="C4" s="37"/>
      <c r="D4" s="37"/>
      <c r="E4" s="37"/>
      <c r="F4" s="37"/>
      <c r="G4" s="5" t="s">
        <v>336</v>
      </c>
      <c r="H4" s="27" t="s">
        <v>337</v>
      </c>
      <c r="I4" s="37"/>
      <c r="J4" s="37"/>
      <c r="K4" s="39"/>
    </row>
    <row r="5" spans="1:10" ht="15">
      <c r="A5" s="40" t="s">
        <v>68</v>
      </c>
      <c r="B5" s="41"/>
      <c r="C5" s="41"/>
      <c r="D5" s="41"/>
      <c r="E5" s="41"/>
      <c r="F5" s="41"/>
      <c r="G5" s="41"/>
      <c r="H5" s="41"/>
      <c r="I5" s="41"/>
      <c r="J5" s="41"/>
    </row>
    <row r="6" spans="1:11" ht="12.75">
      <c r="A6" s="7" t="s">
        <v>163</v>
      </c>
      <c r="B6" s="7" t="s">
        <v>164</v>
      </c>
      <c r="C6" s="7" t="s">
        <v>165</v>
      </c>
      <c r="D6" s="7" t="str">
        <f>"0,7048"</f>
        <v>0,7048</v>
      </c>
      <c r="E6" s="7" t="s">
        <v>166</v>
      </c>
      <c r="F6" s="7" t="s">
        <v>167</v>
      </c>
      <c r="G6" s="9" t="s">
        <v>213</v>
      </c>
      <c r="H6" s="28" t="s">
        <v>334</v>
      </c>
      <c r="I6" s="7" t="str">
        <f>"1710,0"</f>
        <v>1710,0</v>
      </c>
      <c r="J6" s="9" t="str">
        <f>"1205,2080"</f>
        <v>1205,2080</v>
      </c>
      <c r="K6" s="7" t="s">
        <v>168</v>
      </c>
    </row>
    <row r="8" spans="5:6" ht="15">
      <c r="E8" s="16" t="s">
        <v>36</v>
      </c>
      <c r="F8" s="16" t="s">
        <v>413</v>
      </c>
    </row>
    <row r="9" spans="5:6" ht="15">
      <c r="E9" s="16" t="s">
        <v>37</v>
      </c>
      <c r="F9" s="16" t="s">
        <v>414</v>
      </c>
    </row>
    <row r="10" spans="5:6" ht="15">
      <c r="E10" s="16" t="s">
        <v>38</v>
      </c>
      <c r="F10" s="16" t="s">
        <v>415</v>
      </c>
    </row>
    <row r="11" spans="5:6" ht="15">
      <c r="E11" s="16" t="s">
        <v>39</v>
      </c>
      <c r="F11" s="16" t="s">
        <v>416</v>
      </c>
    </row>
    <row r="12" spans="5:6" ht="15">
      <c r="E12" s="16" t="s">
        <v>39</v>
      </c>
      <c r="F12" s="16" t="s">
        <v>417</v>
      </c>
    </row>
    <row r="13" spans="5:6" ht="15">
      <c r="E13" s="16" t="s">
        <v>40</v>
      </c>
      <c r="F13" s="16" t="s">
        <v>418</v>
      </c>
    </row>
    <row r="14" ht="15">
      <c r="E14" s="16"/>
    </row>
    <row r="16" spans="1:2" ht="18">
      <c r="A16" s="17"/>
      <c r="B16" s="17"/>
    </row>
    <row r="17" spans="1:2" ht="15">
      <c r="A17" s="18"/>
      <c r="B17" s="18"/>
    </row>
    <row r="18" spans="1:2" ht="14.25">
      <c r="A18" s="20"/>
      <c r="B18" s="21"/>
    </row>
    <row r="19" spans="1:5" ht="15">
      <c r="A19" s="1"/>
      <c r="B19" s="1"/>
      <c r="C19" s="1"/>
      <c r="D19" s="1"/>
      <c r="E19" s="1"/>
    </row>
    <row r="20" spans="1:5" ht="12.75">
      <c r="A20" s="19"/>
      <c r="E20" s="23"/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A17" sqref="A17:E28"/>
    </sheetView>
  </sheetViews>
  <sheetFormatPr defaultColWidth="9.1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31.75390625" style="4" bestFit="1" customWidth="1"/>
    <col min="6" max="6" width="29.003906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5" width="7.875" style="4" bestFit="1" customWidth="1"/>
    <col min="16" max="16" width="8.625" style="3" bestFit="1" customWidth="1"/>
    <col min="17" max="17" width="15.75390625" style="4" bestFit="1" customWidth="1"/>
    <col min="18" max="16384" width="9.125" style="3" customWidth="1"/>
  </cols>
  <sheetData>
    <row r="1" spans="1:17" s="2" customFormat="1" ht="28.5" customHeight="1">
      <c r="A1" s="42" t="s">
        <v>327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s="2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</row>
    <row r="3" spans="1:17" s="1" customFormat="1" ht="12.75" customHeight="1">
      <c r="A3" s="48" t="s">
        <v>0</v>
      </c>
      <c r="B3" s="50" t="s">
        <v>6</v>
      </c>
      <c r="C3" s="50" t="s">
        <v>7</v>
      </c>
      <c r="D3" s="36" t="s">
        <v>10</v>
      </c>
      <c r="E3" s="36" t="s">
        <v>4</v>
      </c>
      <c r="F3" s="36" t="s">
        <v>8</v>
      </c>
      <c r="G3" s="36" t="s">
        <v>11</v>
      </c>
      <c r="H3" s="36"/>
      <c r="I3" s="36"/>
      <c r="J3" s="36"/>
      <c r="K3" s="36" t="s">
        <v>207</v>
      </c>
      <c r="L3" s="36"/>
      <c r="M3" s="36"/>
      <c r="N3" s="36"/>
      <c r="O3" s="36" t="s">
        <v>1</v>
      </c>
      <c r="P3" s="36" t="s">
        <v>3</v>
      </c>
      <c r="Q3" s="38" t="s">
        <v>2</v>
      </c>
    </row>
    <row r="4" spans="1:17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37"/>
      <c r="P4" s="37"/>
      <c r="Q4" s="39"/>
    </row>
    <row r="5" spans="1:16" ht="15">
      <c r="A5" s="40" t="s">
        <v>12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7" ht="12.75">
      <c r="A6" s="7" t="s">
        <v>328</v>
      </c>
      <c r="B6" s="7" t="s">
        <v>329</v>
      </c>
      <c r="C6" s="7" t="s">
        <v>330</v>
      </c>
      <c r="D6" s="7" t="str">
        <f>"0,6442"</f>
        <v>0,6442</v>
      </c>
      <c r="E6" s="7" t="s">
        <v>26</v>
      </c>
      <c r="F6" s="7" t="s">
        <v>27</v>
      </c>
      <c r="G6" s="9" t="s">
        <v>222</v>
      </c>
      <c r="H6" s="9" t="s">
        <v>227</v>
      </c>
      <c r="I6" s="8" t="s">
        <v>145</v>
      </c>
      <c r="J6" s="8"/>
      <c r="K6" s="9" t="s">
        <v>277</v>
      </c>
      <c r="L6" s="9" t="s">
        <v>311</v>
      </c>
      <c r="M6" s="9" t="s">
        <v>331</v>
      </c>
      <c r="N6" s="8"/>
      <c r="O6" s="7" t="str">
        <f>"350,0"</f>
        <v>350,0</v>
      </c>
      <c r="P6" s="9" t="str">
        <f>"299,8751"</f>
        <v>299,8751</v>
      </c>
      <c r="Q6" s="7" t="s">
        <v>21</v>
      </c>
    </row>
    <row r="8" spans="5:6" ht="15">
      <c r="E8" s="16" t="s">
        <v>36</v>
      </c>
      <c r="F8" s="16" t="s">
        <v>413</v>
      </c>
    </row>
    <row r="9" spans="5:6" ht="15">
      <c r="E9" s="16" t="s">
        <v>37</v>
      </c>
      <c r="F9" s="16" t="s">
        <v>414</v>
      </c>
    </row>
    <row r="10" spans="5:6" ht="15">
      <c r="E10" s="16" t="s">
        <v>38</v>
      </c>
      <c r="F10" s="16" t="s">
        <v>415</v>
      </c>
    </row>
    <row r="11" spans="5:6" ht="15">
      <c r="E11" s="16" t="s">
        <v>39</v>
      </c>
      <c r="F11" s="16" t="s">
        <v>416</v>
      </c>
    </row>
    <row r="12" spans="5:6" ht="15">
      <c r="E12" s="16" t="s">
        <v>39</v>
      </c>
      <c r="F12" s="16" t="s">
        <v>417</v>
      </c>
    </row>
    <row r="13" spans="5:6" ht="15">
      <c r="E13" s="16" t="s">
        <v>40</v>
      </c>
      <c r="F13" s="16" t="s">
        <v>418</v>
      </c>
    </row>
    <row r="14" ht="15">
      <c r="E14" s="16"/>
    </row>
    <row r="16" spans="1:2" ht="18">
      <c r="A16" s="17"/>
      <c r="B16" s="17"/>
    </row>
    <row r="17" spans="1:2" ht="15">
      <c r="A17" s="18"/>
      <c r="B17" s="18"/>
    </row>
    <row r="18" spans="1:2" ht="14.25">
      <c r="A18" s="20"/>
      <c r="B18" s="21"/>
    </row>
    <row r="19" spans="1:5" ht="15">
      <c r="A19" s="1"/>
      <c r="B19" s="1"/>
      <c r="C19" s="1"/>
      <c r="D19" s="1"/>
      <c r="E19" s="1"/>
    </row>
    <row r="20" spans="1:5" ht="12.75">
      <c r="A20" s="19"/>
      <c r="E20" s="23"/>
    </row>
  </sheetData>
  <sheetProtection/>
  <mergeCells count="13">
    <mergeCell ref="O3:O4"/>
    <mergeCell ref="P3:P4"/>
    <mergeCell ref="Q3:Q4"/>
    <mergeCell ref="A5:P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9">
      <selection activeCell="B31" sqref="B31"/>
    </sheetView>
  </sheetViews>
  <sheetFormatPr defaultColWidth="9.1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31.75390625" style="4" bestFit="1" customWidth="1"/>
    <col min="6" max="6" width="29.003906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5" width="7.875" style="4" bestFit="1" customWidth="1"/>
    <col min="16" max="16" width="8.625" style="3" bestFit="1" customWidth="1"/>
    <col min="17" max="17" width="31.00390625" style="4" bestFit="1" customWidth="1"/>
    <col min="18" max="16384" width="9.125" style="3" customWidth="1"/>
  </cols>
  <sheetData>
    <row r="1" spans="1:17" s="2" customFormat="1" ht="28.5" customHeight="1">
      <c r="A1" s="42" t="s">
        <v>299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s="2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</row>
    <row r="3" spans="1:17" s="1" customFormat="1" ht="12.75" customHeight="1">
      <c r="A3" s="48" t="s">
        <v>0</v>
      </c>
      <c r="B3" s="50" t="s">
        <v>6</v>
      </c>
      <c r="C3" s="50" t="s">
        <v>7</v>
      </c>
      <c r="D3" s="36" t="s">
        <v>10</v>
      </c>
      <c r="E3" s="36" t="s">
        <v>4</v>
      </c>
      <c r="F3" s="36" t="s">
        <v>8</v>
      </c>
      <c r="G3" s="36" t="s">
        <v>11</v>
      </c>
      <c r="H3" s="36"/>
      <c r="I3" s="36"/>
      <c r="J3" s="36"/>
      <c r="K3" s="36" t="s">
        <v>207</v>
      </c>
      <c r="L3" s="36"/>
      <c r="M3" s="36"/>
      <c r="N3" s="36"/>
      <c r="O3" s="36" t="s">
        <v>1</v>
      </c>
      <c r="P3" s="36" t="s">
        <v>3</v>
      </c>
      <c r="Q3" s="38" t="s">
        <v>2</v>
      </c>
    </row>
    <row r="4" spans="1:17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37"/>
      <c r="P4" s="37"/>
      <c r="Q4" s="39"/>
    </row>
    <row r="5" spans="1:16" ht="15">
      <c r="A5" s="40" t="s">
        <v>86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7" ht="12.75">
      <c r="A6" s="7" t="s">
        <v>117</v>
      </c>
      <c r="B6" s="7" t="s">
        <v>118</v>
      </c>
      <c r="C6" s="7" t="s">
        <v>119</v>
      </c>
      <c r="D6" s="7" t="str">
        <f>"0,8954"</f>
        <v>0,8954</v>
      </c>
      <c r="E6" s="7" t="s">
        <v>106</v>
      </c>
      <c r="F6" s="7" t="s">
        <v>17</v>
      </c>
      <c r="G6" s="9" t="s">
        <v>120</v>
      </c>
      <c r="H6" s="9" t="s">
        <v>121</v>
      </c>
      <c r="I6" s="8" t="s">
        <v>122</v>
      </c>
      <c r="J6" s="8"/>
      <c r="K6" s="9" t="s">
        <v>98</v>
      </c>
      <c r="L6" s="9" t="s">
        <v>227</v>
      </c>
      <c r="M6" s="8" t="s">
        <v>145</v>
      </c>
      <c r="N6" s="8"/>
      <c r="O6" s="7" t="str">
        <f>"180,0"</f>
        <v>180,0</v>
      </c>
      <c r="P6" s="9" t="str">
        <f>"291,7213"</f>
        <v>291,7213</v>
      </c>
      <c r="Q6" s="7" t="s">
        <v>123</v>
      </c>
    </row>
    <row r="8" spans="1:16" ht="15">
      <c r="A8" s="52" t="s">
        <v>124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7" ht="12.75">
      <c r="A9" s="7" t="s">
        <v>235</v>
      </c>
      <c r="B9" s="7" t="s">
        <v>236</v>
      </c>
      <c r="C9" s="7" t="s">
        <v>237</v>
      </c>
      <c r="D9" s="7" t="str">
        <f>"0,8084"</f>
        <v>0,8084</v>
      </c>
      <c r="E9" s="7" t="s">
        <v>128</v>
      </c>
      <c r="F9" s="7" t="s">
        <v>129</v>
      </c>
      <c r="G9" s="8" t="s">
        <v>115</v>
      </c>
      <c r="H9" s="8" t="s">
        <v>116</v>
      </c>
      <c r="I9" s="9" t="s">
        <v>116</v>
      </c>
      <c r="J9" s="8"/>
      <c r="K9" s="8" t="s">
        <v>212</v>
      </c>
      <c r="L9" s="9" t="s">
        <v>212</v>
      </c>
      <c r="M9" s="9" t="s">
        <v>238</v>
      </c>
      <c r="N9" s="8"/>
      <c r="O9" s="7" t="str">
        <f>"140,0"</f>
        <v>140,0</v>
      </c>
      <c r="P9" s="9" t="str">
        <f>"113,5155"</f>
        <v>113,5155</v>
      </c>
      <c r="Q9" s="7" t="s">
        <v>131</v>
      </c>
    </row>
    <row r="11" spans="1:16" ht="15">
      <c r="A11" s="52" t="s">
        <v>124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</row>
    <row r="12" spans="1:17" ht="12.75">
      <c r="A12" s="10" t="s">
        <v>300</v>
      </c>
      <c r="B12" s="10" t="s">
        <v>301</v>
      </c>
      <c r="C12" s="10" t="s">
        <v>302</v>
      </c>
      <c r="D12" s="10" t="str">
        <f>"0,7263"</f>
        <v>0,7263</v>
      </c>
      <c r="E12" s="10" t="s">
        <v>128</v>
      </c>
      <c r="F12" s="10" t="s">
        <v>129</v>
      </c>
      <c r="G12" s="12" t="s">
        <v>90</v>
      </c>
      <c r="H12" s="11" t="s">
        <v>217</v>
      </c>
      <c r="I12" s="11" t="s">
        <v>91</v>
      </c>
      <c r="J12" s="11"/>
      <c r="K12" s="12" t="s">
        <v>226</v>
      </c>
      <c r="L12" s="11" t="s">
        <v>222</v>
      </c>
      <c r="M12" s="11" t="s">
        <v>222</v>
      </c>
      <c r="N12" s="11"/>
      <c r="O12" s="10" t="str">
        <f>"175,0"</f>
        <v>175,0</v>
      </c>
      <c r="P12" s="12" t="str">
        <f>"143,6258"</f>
        <v>143,6258</v>
      </c>
      <c r="Q12" s="10" t="s">
        <v>131</v>
      </c>
    </row>
    <row r="13" spans="1:17" ht="12.75">
      <c r="A13" s="13" t="s">
        <v>303</v>
      </c>
      <c r="B13" s="13" t="s">
        <v>304</v>
      </c>
      <c r="C13" s="13" t="s">
        <v>305</v>
      </c>
      <c r="D13" s="13" t="str">
        <f>"0,7287"</f>
        <v>0,7287</v>
      </c>
      <c r="E13" s="13" t="s">
        <v>16</v>
      </c>
      <c r="F13" s="13" t="s">
        <v>306</v>
      </c>
      <c r="G13" s="15" t="s">
        <v>256</v>
      </c>
      <c r="H13" s="14" t="s">
        <v>96</v>
      </c>
      <c r="I13" s="14" t="s">
        <v>96</v>
      </c>
      <c r="J13" s="14"/>
      <c r="K13" s="15" t="s">
        <v>19</v>
      </c>
      <c r="L13" s="15" t="s">
        <v>57</v>
      </c>
      <c r="M13" s="15" t="s">
        <v>157</v>
      </c>
      <c r="N13" s="14"/>
      <c r="O13" s="13" t="str">
        <f>"240,0"</f>
        <v>240,0</v>
      </c>
      <c r="P13" s="15" t="str">
        <f>"174,8880"</f>
        <v>174,8880</v>
      </c>
      <c r="Q13" s="13" t="s">
        <v>21</v>
      </c>
    </row>
    <row r="15" spans="1:16" ht="15">
      <c r="A15" s="52" t="s">
        <v>68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</row>
    <row r="16" spans="1:17" ht="12.75">
      <c r="A16" s="10" t="s">
        <v>307</v>
      </c>
      <c r="B16" s="10" t="s">
        <v>308</v>
      </c>
      <c r="C16" s="10" t="s">
        <v>309</v>
      </c>
      <c r="D16" s="10" t="str">
        <f>"0,5574"</f>
        <v>0,5574</v>
      </c>
      <c r="E16" s="10" t="s">
        <v>16</v>
      </c>
      <c r="F16" s="10" t="s">
        <v>17</v>
      </c>
      <c r="G16" s="12" t="s">
        <v>145</v>
      </c>
      <c r="H16" s="11" t="s">
        <v>249</v>
      </c>
      <c r="I16" s="12" t="s">
        <v>19</v>
      </c>
      <c r="J16" s="11"/>
      <c r="K16" s="12" t="s">
        <v>259</v>
      </c>
      <c r="L16" s="12" t="s">
        <v>310</v>
      </c>
      <c r="M16" s="12" t="s">
        <v>311</v>
      </c>
      <c r="N16" s="11"/>
      <c r="O16" s="10" t="str">
        <f>"355,0"</f>
        <v>355,0</v>
      </c>
      <c r="P16" s="12" t="str">
        <f>"197,8770"</f>
        <v>197,8770</v>
      </c>
      <c r="Q16" s="10" t="s">
        <v>150</v>
      </c>
    </row>
    <row r="17" spans="1:17" ht="12.75">
      <c r="A17" s="13" t="s">
        <v>312</v>
      </c>
      <c r="B17" s="13" t="s">
        <v>313</v>
      </c>
      <c r="C17" s="13" t="s">
        <v>314</v>
      </c>
      <c r="D17" s="13" t="str">
        <f>"0,5691"</f>
        <v>0,5691</v>
      </c>
      <c r="E17" s="13" t="s">
        <v>16</v>
      </c>
      <c r="F17" s="13" t="s">
        <v>306</v>
      </c>
      <c r="G17" s="14" t="s">
        <v>96</v>
      </c>
      <c r="H17" s="15" t="s">
        <v>96</v>
      </c>
      <c r="I17" s="15" t="s">
        <v>226</v>
      </c>
      <c r="J17" s="14"/>
      <c r="K17" s="15" t="s">
        <v>59</v>
      </c>
      <c r="L17" s="15" t="s">
        <v>35</v>
      </c>
      <c r="M17" s="15" t="s">
        <v>28</v>
      </c>
      <c r="N17" s="14"/>
      <c r="O17" s="13" t="str">
        <f>"275,0"</f>
        <v>275,0</v>
      </c>
      <c r="P17" s="15" t="str">
        <f>"156,5025"</f>
        <v>156,5025</v>
      </c>
      <c r="Q17" s="13" t="s">
        <v>21</v>
      </c>
    </row>
    <row r="19" spans="1:16" ht="15">
      <c r="A19" s="52" t="s">
        <v>52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</row>
    <row r="20" spans="1:17" ht="12.75">
      <c r="A20" s="7" t="s">
        <v>169</v>
      </c>
      <c r="B20" s="7" t="s">
        <v>170</v>
      </c>
      <c r="C20" s="7" t="s">
        <v>171</v>
      </c>
      <c r="D20" s="7" t="str">
        <f>"0,5401"</f>
        <v>0,5401</v>
      </c>
      <c r="E20" s="7" t="s">
        <v>128</v>
      </c>
      <c r="F20" s="7" t="s">
        <v>17</v>
      </c>
      <c r="G20" s="9" t="s">
        <v>157</v>
      </c>
      <c r="H20" s="8" t="s">
        <v>149</v>
      </c>
      <c r="I20" s="8" t="s">
        <v>149</v>
      </c>
      <c r="J20" s="8"/>
      <c r="K20" s="9" t="s">
        <v>77</v>
      </c>
      <c r="L20" s="9" t="s">
        <v>285</v>
      </c>
      <c r="M20" s="9" t="s">
        <v>286</v>
      </c>
      <c r="N20" s="8"/>
      <c r="O20" s="7" t="str">
        <f>"412,5"</f>
        <v>412,5</v>
      </c>
      <c r="P20" s="9" t="str">
        <f>"222,7912"</f>
        <v>222,7912</v>
      </c>
      <c r="Q20" s="7" t="s">
        <v>131</v>
      </c>
    </row>
    <row r="22" spans="1:16" ht="15">
      <c r="A22" s="52" t="s">
        <v>22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</row>
    <row r="23" spans="1:17" ht="12.75">
      <c r="A23" s="7" t="s">
        <v>315</v>
      </c>
      <c r="B23" s="7" t="s">
        <v>175</v>
      </c>
      <c r="C23" s="7" t="s">
        <v>176</v>
      </c>
      <c r="D23" s="7" t="str">
        <f>"0,5260"</f>
        <v>0,5260</v>
      </c>
      <c r="E23" s="7" t="s">
        <v>26</v>
      </c>
      <c r="F23" s="7" t="s">
        <v>27</v>
      </c>
      <c r="G23" s="8" t="s">
        <v>28</v>
      </c>
      <c r="H23" s="9" t="s">
        <v>72</v>
      </c>
      <c r="I23" s="9" t="s">
        <v>29</v>
      </c>
      <c r="J23" s="8"/>
      <c r="K23" s="9" t="s">
        <v>259</v>
      </c>
      <c r="L23" s="9" t="s">
        <v>316</v>
      </c>
      <c r="M23" s="8" t="s">
        <v>78</v>
      </c>
      <c r="N23" s="8"/>
      <c r="O23" s="7" t="str">
        <f>"410,0"</f>
        <v>410,0</v>
      </c>
      <c r="P23" s="9" t="str">
        <f>"215,6600"</f>
        <v>215,6600</v>
      </c>
      <c r="Q23" s="7" t="s">
        <v>177</v>
      </c>
    </row>
    <row r="25" spans="5:6" ht="15">
      <c r="E25" s="16" t="s">
        <v>36</v>
      </c>
      <c r="F25" s="16" t="s">
        <v>413</v>
      </c>
    </row>
    <row r="26" spans="5:6" ht="15">
      <c r="E26" s="16" t="s">
        <v>37</v>
      </c>
      <c r="F26" s="16" t="s">
        <v>414</v>
      </c>
    </row>
    <row r="27" spans="5:6" ht="15">
      <c r="E27" s="16" t="s">
        <v>38</v>
      </c>
      <c r="F27" s="16" t="s">
        <v>415</v>
      </c>
    </row>
    <row r="28" spans="5:6" ht="15">
      <c r="E28" s="16" t="s">
        <v>39</v>
      </c>
      <c r="F28" s="16" t="s">
        <v>416</v>
      </c>
    </row>
    <row r="29" spans="5:6" ht="15">
      <c r="E29" s="16" t="s">
        <v>39</v>
      </c>
      <c r="F29" s="16" t="s">
        <v>417</v>
      </c>
    </row>
    <row r="30" spans="5:6" ht="15">
      <c r="E30" s="16" t="s">
        <v>40</v>
      </c>
      <c r="F30" s="16" t="s">
        <v>418</v>
      </c>
    </row>
    <row r="31" ht="15">
      <c r="E31" s="16"/>
    </row>
    <row r="33" spans="1:2" ht="18">
      <c r="A33" s="17" t="s">
        <v>41</v>
      </c>
      <c r="B33" s="17"/>
    </row>
    <row r="34" spans="1:2" ht="15">
      <c r="A34" s="18" t="s">
        <v>42</v>
      </c>
      <c r="B34" s="18"/>
    </row>
    <row r="35" spans="1:5" ht="15">
      <c r="A35" s="22" t="s">
        <v>44</v>
      </c>
      <c r="B35" s="22" t="s">
        <v>45</v>
      </c>
      <c r="C35" s="22" t="s">
        <v>46</v>
      </c>
      <c r="D35" s="22" t="s">
        <v>47</v>
      </c>
      <c r="E35" s="22" t="s">
        <v>48</v>
      </c>
    </row>
    <row r="36" spans="1:5" ht="12.75">
      <c r="A36" s="19" t="s">
        <v>169</v>
      </c>
      <c r="B36" s="4" t="s">
        <v>43</v>
      </c>
      <c r="C36" s="4" t="s">
        <v>61</v>
      </c>
      <c r="D36" s="4" t="s">
        <v>317</v>
      </c>
      <c r="E36" s="23" t="s">
        <v>318</v>
      </c>
    </row>
    <row r="37" spans="1:5" ht="12.75">
      <c r="A37" s="19" t="s">
        <v>174</v>
      </c>
      <c r="B37" s="4" t="s">
        <v>43</v>
      </c>
      <c r="C37" s="4" t="s">
        <v>49</v>
      </c>
      <c r="D37" s="4" t="s">
        <v>319</v>
      </c>
      <c r="E37" s="23" t="s">
        <v>320</v>
      </c>
    </row>
    <row r="38" spans="1:5" ht="12.75">
      <c r="A38" s="19" t="s">
        <v>500</v>
      </c>
      <c r="B38" s="4" t="s">
        <v>43</v>
      </c>
      <c r="C38" s="4" t="s">
        <v>84</v>
      </c>
      <c r="D38" s="4" t="s">
        <v>321</v>
      </c>
      <c r="E38" s="23" t="s">
        <v>322</v>
      </c>
    </row>
    <row r="39" spans="1:5" ht="12.75">
      <c r="A39" s="19" t="s">
        <v>501</v>
      </c>
      <c r="B39" s="4" t="s">
        <v>43</v>
      </c>
      <c r="C39" s="4" t="s">
        <v>185</v>
      </c>
      <c r="D39" s="4" t="s">
        <v>323</v>
      </c>
      <c r="E39" s="23" t="s">
        <v>324</v>
      </c>
    </row>
    <row r="40" spans="1:5" ht="12.75">
      <c r="A40" s="19" t="s">
        <v>502</v>
      </c>
      <c r="B40" s="4" t="s">
        <v>43</v>
      </c>
      <c r="C40" s="4" t="s">
        <v>84</v>
      </c>
      <c r="D40" s="4" t="s">
        <v>325</v>
      </c>
      <c r="E40" s="23" t="s">
        <v>326</v>
      </c>
    </row>
  </sheetData>
  <sheetProtection/>
  <mergeCells count="18">
    <mergeCell ref="Q3:Q4"/>
    <mergeCell ref="A5:P5"/>
    <mergeCell ref="A8:P8"/>
    <mergeCell ref="A11:P11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A15:P15"/>
    <mergeCell ref="A19:P19"/>
    <mergeCell ref="A22:P22"/>
    <mergeCell ref="O3:O4"/>
    <mergeCell ref="P3:P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46">
      <selection activeCell="A73" sqref="A73"/>
    </sheetView>
  </sheetViews>
  <sheetFormatPr defaultColWidth="9.125" defaultRowHeight="12.75"/>
  <cols>
    <col min="1" max="1" width="26.00390625" style="4" bestFit="1" customWidth="1"/>
    <col min="2" max="2" width="29.00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8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31.00390625" style="4" bestFit="1" customWidth="1"/>
    <col min="14" max="16384" width="9.125" style="3" customWidth="1"/>
  </cols>
  <sheetData>
    <row r="1" spans="1:13" s="2" customFormat="1" ht="28.5" customHeight="1">
      <c r="A1" s="42" t="s">
        <v>206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6</v>
      </c>
      <c r="C3" s="50" t="s">
        <v>7</v>
      </c>
      <c r="D3" s="36" t="s">
        <v>10</v>
      </c>
      <c r="E3" s="36" t="s">
        <v>4</v>
      </c>
      <c r="F3" s="36" t="s">
        <v>8</v>
      </c>
      <c r="G3" s="36" t="s">
        <v>207</v>
      </c>
      <c r="H3" s="36"/>
      <c r="I3" s="36"/>
      <c r="J3" s="36"/>
      <c r="K3" s="36" t="s">
        <v>50</v>
      </c>
      <c r="L3" s="36" t="s">
        <v>3</v>
      </c>
      <c r="M3" s="38" t="s">
        <v>2</v>
      </c>
    </row>
    <row r="4" spans="1:13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2" ht="15">
      <c r="A5" s="40" t="s">
        <v>208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3" ht="12.75">
      <c r="A6" s="7" t="s">
        <v>209</v>
      </c>
      <c r="B6" s="7" t="s">
        <v>210</v>
      </c>
      <c r="C6" s="7" t="s">
        <v>211</v>
      </c>
      <c r="D6" s="7" t="str">
        <f>"1,0512"</f>
        <v>1,0512</v>
      </c>
      <c r="E6" s="7" t="s">
        <v>106</v>
      </c>
      <c r="F6" s="7" t="s">
        <v>17</v>
      </c>
      <c r="G6" s="9" t="s">
        <v>212</v>
      </c>
      <c r="H6" s="9" t="s">
        <v>213</v>
      </c>
      <c r="I6" s="8" t="s">
        <v>96</v>
      </c>
      <c r="J6" s="8"/>
      <c r="K6" s="7" t="str">
        <f>"95,0"</f>
        <v>95,0</v>
      </c>
      <c r="L6" s="9" t="str">
        <f>"102,8599"</f>
        <v>102,8599</v>
      </c>
      <c r="M6" s="7" t="s">
        <v>110</v>
      </c>
    </row>
    <row r="8" spans="1:12" ht="15">
      <c r="A8" s="52" t="s">
        <v>111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 ht="12.75">
      <c r="A9" s="7" t="s">
        <v>214</v>
      </c>
      <c r="B9" s="7" t="s">
        <v>215</v>
      </c>
      <c r="C9" s="7" t="s">
        <v>216</v>
      </c>
      <c r="D9" s="7" t="str">
        <f>"0,9263"</f>
        <v>0,9263</v>
      </c>
      <c r="E9" s="7" t="s">
        <v>128</v>
      </c>
      <c r="F9" s="7" t="s">
        <v>129</v>
      </c>
      <c r="G9" s="9" t="s">
        <v>121</v>
      </c>
      <c r="H9" s="9" t="s">
        <v>217</v>
      </c>
      <c r="I9" s="8" t="s">
        <v>218</v>
      </c>
      <c r="J9" s="8"/>
      <c r="K9" s="7" t="str">
        <f>"72,5"</f>
        <v>72,5</v>
      </c>
      <c r="L9" s="9" t="str">
        <f>"67,1567"</f>
        <v>67,1567</v>
      </c>
      <c r="M9" s="7" t="s">
        <v>131</v>
      </c>
    </row>
    <row r="11" spans="1:12" ht="15">
      <c r="A11" s="52" t="s">
        <v>86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3" ht="12.75">
      <c r="A12" s="10" t="s">
        <v>219</v>
      </c>
      <c r="B12" s="10" t="s">
        <v>220</v>
      </c>
      <c r="C12" s="10" t="s">
        <v>221</v>
      </c>
      <c r="D12" s="10" t="str">
        <f>"0,8831"</f>
        <v>0,8831</v>
      </c>
      <c r="E12" s="10" t="s">
        <v>128</v>
      </c>
      <c r="F12" s="10" t="s">
        <v>129</v>
      </c>
      <c r="G12" s="12" t="s">
        <v>97</v>
      </c>
      <c r="H12" s="12" t="s">
        <v>222</v>
      </c>
      <c r="I12" s="11" t="s">
        <v>145</v>
      </c>
      <c r="J12" s="11"/>
      <c r="K12" s="10" t="str">
        <f>"112,5"</f>
        <v>112,5</v>
      </c>
      <c r="L12" s="12" t="str">
        <f>"99,3544"</f>
        <v>99,3544</v>
      </c>
      <c r="M12" s="10" t="s">
        <v>131</v>
      </c>
    </row>
    <row r="13" spans="1:13" ht="12.75">
      <c r="A13" s="24" t="s">
        <v>223</v>
      </c>
      <c r="B13" s="24" t="s">
        <v>224</v>
      </c>
      <c r="C13" s="24" t="s">
        <v>225</v>
      </c>
      <c r="D13" s="24" t="str">
        <f>"0,8794"</f>
        <v>0,8794</v>
      </c>
      <c r="E13" s="24" t="s">
        <v>128</v>
      </c>
      <c r="F13" s="24" t="s">
        <v>129</v>
      </c>
      <c r="G13" s="26" t="s">
        <v>213</v>
      </c>
      <c r="H13" s="26" t="s">
        <v>226</v>
      </c>
      <c r="I13" s="26" t="s">
        <v>222</v>
      </c>
      <c r="J13" s="25"/>
      <c r="K13" s="24" t="str">
        <f>"112,5"</f>
        <v>112,5</v>
      </c>
      <c r="L13" s="26" t="str">
        <f>"98,9325"</f>
        <v>98,9325</v>
      </c>
      <c r="M13" s="24" t="s">
        <v>131</v>
      </c>
    </row>
    <row r="14" spans="1:13" ht="12.75">
      <c r="A14" s="13" t="s">
        <v>117</v>
      </c>
      <c r="B14" s="13" t="s">
        <v>118</v>
      </c>
      <c r="C14" s="13" t="s">
        <v>119</v>
      </c>
      <c r="D14" s="13" t="str">
        <f>"0,8954"</f>
        <v>0,8954</v>
      </c>
      <c r="E14" s="13" t="s">
        <v>106</v>
      </c>
      <c r="F14" s="13" t="s">
        <v>17</v>
      </c>
      <c r="G14" s="15" t="s">
        <v>98</v>
      </c>
      <c r="H14" s="15" t="s">
        <v>227</v>
      </c>
      <c r="I14" s="14" t="s">
        <v>145</v>
      </c>
      <c r="J14" s="14"/>
      <c r="K14" s="13" t="str">
        <f>"115,0"</f>
        <v>115,0</v>
      </c>
      <c r="L14" s="15" t="str">
        <f>"186,3775"</f>
        <v>186,3775</v>
      </c>
      <c r="M14" s="13" t="s">
        <v>123</v>
      </c>
    </row>
    <row r="16" spans="1:12" ht="15">
      <c r="A16" s="52" t="s">
        <v>124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</row>
    <row r="17" spans="1:13" ht="12.75">
      <c r="A17" s="10" t="s">
        <v>125</v>
      </c>
      <c r="B17" s="10" t="s">
        <v>126</v>
      </c>
      <c r="C17" s="10" t="s">
        <v>127</v>
      </c>
      <c r="D17" s="10" t="str">
        <f>"0,8153"</f>
        <v>0,8153</v>
      </c>
      <c r="E17" s="10" t="s">
        <v>128</v>
      </c>
      <c r="F17" s="10" t="s">
        <v>129</v>
      </c>
      <c r="G17" s="12" t="s">
        <v>212</v>
      </c>
      <c r="H17" s="11" t="s">
        <v>228</v>
      </c>
      <c r="I17" s="12" t="s">
        <v>228</v>
      </c>
      <c r="J17" s="11"/>
      <c r="K17" s="10" t="str">
        <f>"92,5"</f>
        <v>92,5</v>
      </c>
      <c r="L17" s="12" t="str">
        <f>"75,4199"</f>
        <v>75,4199</v>
      </c>
      <c r="M17" s="10" t="s">
        <v>131</v>
      </c>
    </row>
    <row r="18" spans="1:13" ht="12.75">
      <c r="A18" s="24" t="s">
        <v>229</v>
      </c>
      <c r="B18" s="24" t="s">
        <v>230</v>
      </c>
      <c r="C18" s="24" t="s">
        <v>231</v>
      </c>
      <c r="D18" s="24" t="str">
        <f>"0,8005"</f>
        <v>0,8005</v>
      </c>
      <c r="E18" s="24" t="s">
        <v>106</v>
      </c>
      <c r="F18" s="24" t="s">
        <v>17</v>
      </c>
      <c r="G18" s="26" t="s">
        <v>226</v>
      </c>
      <c r="H18" s="26" t="s">
        <v>145</v>
      </c>
      <c r="I18" s="26" t="s">
        <v>18</v>
      </c>
      <c r="J18" s="25"/>
      <c r="K18" s="24" t="str">
        <f>"125,0"</f>
        <v>125,0</v>
      </c>
      <c r="L18" s="26" t="str">
        <f>"100,0625"</f>
        <v>100,0625</v>
      </c>
      <c r="M18" s="24" t="s">
        <v>110</v>
      </c>
    </row>
    <row r="19" spans="1:13" ht="12.75">
      <c r="A19" s="24" t="s">
        <v>232</v>
      </c>
      <c r="B19" s="24" t="s">
        <v>233</v>
      </c>
      <c r="C19" s="24" t="s">
        <v>234</v>
      </c>
      <c r="D19" s="24" t="str">
        <f>"0,7964"</f>
        <v>0,7964</v>
      </c>
      <c r="E19" s="24" t="s">
        <v>106</v>
      </c>
      <c r="F19" s="24" t="s">
        <v>17</v>
      </c>
      <c r="G19" s="26" t="s">
        <v>226</v>
      </c>
      <c r="H19" s="25" t="s">
        <v>145</v>
      </c>
      <c r="I19" s="25" t="s">
        <v>145</v>
      </c>
      <c r="J19" s="25"/>
      <c r="K19" s="24" t="str">
        <f>"105,0"</f>
        <v>105,0</v>
      </c>
      <c r="L19" s="26" t="str">
        <f>"83,6220"</f>
        <v>83,6220</v>
      </c>
      <c r="M19" s="24" t="s">
        <v>110</v>
      </c>
    </row>
    <row r="20" spans="1:13" ht="12.75">
      <c r="A20" s="24" t="s">
        <v>235</v>
      </c>
      <c r="B20" s="24" t="s">
        <v>236</v>
      </c>
      <c r="C20" s="24" t="s">
        <v>237</v>
      </c>
      <c r="D20" s="24" t="str">
        <f>"0,8084"</f>
        <v>0,8084</v>
      </c>
      <c r="E20" s="24" t="s">
        <v>128</v>
      </c>
      <c r="F20" s="24" t="s">
        <v>129</v>
      </c>
      <c r="G20" s="25" t="s">
        <v>212</v>
      </c>
      <c r="H20" s="26" t="s">
        <v>212</v>
      </c>
      <c r="I20" s="26" t="s">
        <v>238</v>
      </c>
      <c r="J20" s="25"/>
      <c r="K20" s="24" t="str">
        <f>"87,5"</f>
        <v>87,5</v>
      </c>
      <c r="L20" s="26" t="str">
        <f>"70,9472"</f>
        <v>70,9472</v>
      </c>
      <c r="M20" s="24" t="s">
        <v>131</v>
      </c>
    </row>
    <row r="21" spans="1:13" ht="12.75">
      <c r="A21" s="13" t="s">
        <v>239</v>
      </c>
      <c r="B21" s="13" t="s">
        <v>240</v>
      </c>
      <c r="C21" s="13" t="s">
        <v>241</v>
      </c>
      <c r="D21" s="13" t="str">
        <f>"0,7908"</f>
        <v>0,7908</v>
      </c>
      <c r="E21" s="13" t="s">
        <v>106</v>
      </c>
      <c r="F21" s="13" t="s">
        <v>17</v>
      </c>
      <c r="G21" s="15" t="s">
        <v>242</v>
      </c>
      <c r="H21" s="15" t="s">
        <v>18</v>
      </c>
      <c r="I21" s="15" t="s">
        <v>19</v>
      </c>
      <c r="J21" s="14"/>
      <c r="K21" s="13" t="str">
        <f>"130,0"</f>
        <v>130,0</v>
      </c>
      <c r="L21" s="15" t="str">
        <f>"112,2620"</f>
        <v>112,2620</v>
      </c>
      <c r="M21" s="13" t="s">
        <v>110</v>
      </c>
    </row>
    <row r="23" spans="1:12" ht="15">
      <c r="A23" s="52" t="s">
        <v>141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</row>
    <row r="24" spans="1:13" ht="12.75">
      <c r="A24" s="10" t="s">
        <v>243</v>
      </c>
      <c r="B24" s="10" t="s">
        <v>244</v>
      </c>
      <c r="C24" s="10" t="s">
        <v>245</v>
      </c>
      <c r="D24" s="10" t="str">
        <f>"0,7701"</f>
        <v>0,7701</v>
      </c>
      <c r="E24" s="10" t="s">
        <v>128</v>
      </c>
      <c r="F24" s="10" t="s">
        <v>129</v>
      </c>
      <c r="G24" s="12" t="s">
        <v>98</v>
      </c>
      <c r="H24" s="12" t="s">
        <v>145</v>
      </c>
      <c r="I24" s="12" t="s">
        <v>19</v>
      </c>
      <c r="J24" s="11"/>
      <c r="K24" s="10" t="str">
        <f>"130,0"</f>
        <v>130,0</v>
      </c>
      <c r="L24" s="12" t="str">
        <f>"100,1130"</f>
        <v>100,1130</v>
      </c>
      <c r="M24" s="10" t="s">
        <v>131</v>
      </c>
    </row>
    <row r="25" spans="1:13" ht="12.75">
      <c r="A25" s="24" t="s">
        <v>246</v>
      </c>
      <c r="B25" s="24" t="s">
        <v>247</v>
      </c>
      <c r="C25" s="24" t="s">
        <v>248</v>
      </c>
      <c r="D25" s="24" t="str">
        <f>"0,7223"</f>
        <v>0,7223</v>
      </c>
      <c r="E25" s="24" t="s">
        <v>106</v>
      </c>
      <c r="F25" s="24" t="s">
        <v>17</v>
      </c>
      <c r="G25" s="26" t="s">
        <v>145</v>
      </c>
      <c r="H25" s="26" t="s">
        <v>249</v>
      </c>
      <c r="I25" s="25" t="s">
        <v>250</v>
      </c>
      <c r="J25" s="25"/>
      <c r="K25" s="24" t="str">
        <f>"127,5"</f>
        <v>127,5</v>
      </c>
      <c r="L25" s="26" t="str">
        <f>"92,0932"</f>
        <v>92,0932</v>
      </c>
      <c r="M25" s="24" t="s">
        <v>110</v>
      </c>
    </row>
    <row r="26" spans="1:13" ht="12.75">
      <c r="A26" s="13" t="s">
        <v>243</v>
      </c>
      <c r="B26" s="13" t="s">
        <v>251</v>
      </c>
      <c r="C26" s="13" t="s">
        <v>245</v>
      </c>
      <c r="D26" s="13" t="str">
        <f>"0,7701"</f>
        <v>0,7701</v>
      </c>
      <c r="E26" s="13" t="s">
        <v>128</v>
      </c>
      <c r="F26" s="13" t="s">
        <v>129</v>
      </c>
      <c r="G26" s="15" t="s">
        <v>98</v>
      </c>
      <c r="H26" s="15" t="s">
        <v>145</v>
      </c>
      <c r="I26" s="15" t="s">
        <v>19</v>
      </c>
      <c r="J26" s="14"/>
      <c r="K26" s="13" t="str">
        <f>"130,0"</f>
        <v>130,0</v>
      </c>
      <c r="L26" s="15" t="str">
        <f>"104,9184"</f>
        <v>104,9184</v>
      </c>
      <c r="M26" s="13" t="s">
        <v>131</v>
      </c>
    </row>
    <row r="28" spans="1:12" ht="15">
      <c r="A28" s="52" t="s">
        <v>102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</row>
    <row r="29" spans="1:13" ht="12.75">
      <c r="A29" s="7" t="s">
        <v>132</v>
      </c>
      <c r="B29" s="7" t="s">
        <v>133</v>
      </c>
      <c r="C29" s="7" t="s">
        <v>134</v>
      </c>
      <c r="D29" s="7" t="str">
        <f>"1,0799"</f>
        <v>1,0799</v>
      </c>
      <c r="E29" s="7" t="s">
        <v>135</v>
      </c>
      <c r="F29" s="7" t="s">
        <v>136</v>
      </c>
      <c r="G29" s="9" t="s">
        <v>90</v>
      </c>
      <c r="H29" s="9" t="s">
        <v>91</v>
      </c>
      <c r="I29" s="9" t="s">
        <v>252</v>
      </c>
      <c r="J29" s="8"/>
      <c r="K29" s="7" t="str">
        <f>"80,0"</f>
        <v>80,0</v>
      </c>
      <c r="L29" s="9" t="str">
        <f>"106,2622"</f>
        <v>106,2622</v>
      </c>
      <c r="M29" s="7" t="s">
        <v>140</v>
      </c>
    </row>
    <row r="31" spans="1:12" ht="15">
      <c r="A31" s="52" t="s">
        <v>86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</row>
    <row r="32" spans="1:13" ht="12.75">
      <c r="A32" s="7" t="s">
        <v>253</v>
      </c>
      <c r="B32" s="7" t="s">
        <v>254</v>
      </c>
      <c r="C32" s="7" t="s">
        <v>255</v>
      </c>
      <c r="D32" s="7" t="str">
        <f>"0,8142"</f>
        <v>0,8142</v>
      </c>
      <c r="E32" s="7" t="s">
        <v>128</v>
      </c>
      <c r="F32" s="7" t="s">
        <v>129</v>
      </c>
      <c r="G32" s="9" t="s">
        <v>252</v>
      </c>
      <c r="H32" s="8" t="s">
        <v>256</v>
      </c>
      <c r="I32" s="9" t="s">
        <v>213</v>
      </c>
      <c r="J32" s="8"/>
      <c r="K32" s="7" t="str">
        <f>"95,0"</f>
        <v>95,0</v>
      </c>
      <c r="L32" s="9" t="str">
        <f>"95,1393"</f>
        <v>95,1393</v>
      </c>
      <c r="M32" s="7" t="s">
        <v>131</v>
      </c>
    </row>
    <row r="34" spans="1:12" ht="15">
      <c r="A34" s="52" t="s">
        <v>124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</row>
    <row r="35" spans="1:13" ht="12.75">
      <c r="A35" s="7" t="s">
        <v>257</v>
      </c>
      <c r="B35" s="7" t="s">
        <v>258</v>
      </c>
      <c r="C35" s="7" t="s">
        <v>127</v>
      </c>
      <c r="D35" s="7" t="str">
        <f>"0,7625"</f>
        <v>0,7625</v>
      </c>
      <c r="E35" s="7" t="s">
        <v>106</v>
      </c>
      <c r="F35" s="7" t="s">
        <v>17</v>
      </c>
      <c r="G35" s="9" t="s">
        <v>72</v>
      </c>
      <c r="H35" s="9" t="s">
        <v>200</v>
      </c>
      <c r="I35" s="9" t="s">
        <v>259</v>
      </c>
      <c r="J35" s="8"/>
      <c r="K35" s="7" t="str">
        <f>"200,0"</f>
        <v>200,0</v>
      </c>
      <c r="L35" s="9" t="str">
        <f>"152,5000"</f>
        <v>152,5000</v>
      </c>
      <c r="M35" s="7" t="s">
        <v>110</v>
      </c>
    </row>
    <row r="37" spans="1:12" ht="15">
      <c r="A37" s="52" t="s">
        <v>141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</row>
    <row r="38" spans="1:13" ht="12.75">
      <c r="A38" s="7" t="s">
        <v>260</v>
      </c>
      <c r="B38" s="7" t="s">
        <v>261</v>
      </c>
      <c r="C38" s="7" t="s">
        <v>262</v>
      </c>
      <c r="D38" s="7" t="str">
        <f>"0,6831"</f>
        <v>0,6831</v>
      </c>
      <c r="E38" s="7" t="s">
        <v>106</v>
      </c>
      <c r="F38" s="7" t="s">
        <v>17</v>
      </c>
      <c r="G38" s="9" t="s">
        <v>19</v>
      </c>
      <c r="H38" s="9" t="s">
        <v>263</v>
      </c>
      <c r="I38" s="9" t="s">
        <v>264</v>
      </c>
      <c r="J38" s="8"/>
      <c r="K38" s="7" t="str">
        <f>"157,5"</f>
        <v>157,5</v>
      </c>
      <c r="L38" s="9" t="str">
        <f>"114,0519"</f>
        <v>114,0519</v>
      </c>
      <c r="M38" s="7" t="s">
        <v>110</v>
      </c>
    </row>
    <row r="40" spans="1:12" ht="15">
      <c r="A40" s="52" t="s">
        <v>12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</row>
    <row r="41" spans="1:13" ht="12.75">
      <c r="A41" s="10" t="s">
        <v>265</v>
      </c>
      <c r="B41" s="10" t="s">
        <v>266</v>
      </c>
      <c r="C41" s="10" t="s">
        <v>267</v>
      </c>
      <c r="D41" s="10" t="str">
        <f>"0,6349"</f>
        <v>0,6349</v>
      </c>
      <c r="E41" s="10" t="s">
        <v>128</v>
      </c>
      <c r="F41" s="10" t="s">
        <v>129</v>
      </c>
      <c r="G41" s="12" t="s">
        <v>256</v>
      </c>
      <c r="H41" s="12" t="s">
        <v>96</v>
      </c>
      <c r="I41" s="12" t="s">
        <v>227</v>
      </c>
      <c r="J41" s="11"/>
      <c r="K41" s="10" t="str">
        <f>"115,0"</f>
        <v>115,0</v>
      </c>
      <c r="L41" s="12" t="str">
        <f>"89,8137"</f>
        <v>89,8137</v>
      </c>
      <c r="M41" s="10" t="s">
        <v>131</v>
      </c>
    </row>
    <row r="42" spans="1:13" ht="12.75">
      <c r="A42" s="24" t="s">
        <v>268</v>
      </c>
      <c r="B42" s="24" t="s">
        <v>269</v>
      </c>
      <c r="C42" s="24" t="s">
        <v>270</v>
      </c>
      <c r="D42" s="24" t="str">
        <f>"0,6492"</f>
        <v>0,6492</v>
      </c>
      <c r="E42" s="24" t="s">
        <v>16</v>
      </c>
      <c r="F42" s="24" t="s">
        <v>271</v>
      </c>
      <c r="G42" s="26" t="s">
        <v>78</v>
      </c>
      <c r="H42" s="26" t="s">
        <v>272</v>
      </c>
      <c r="I42" s="25" t="s">
        <v>273</v>
      </c>
      <c r="J42" s="25"/>
      <c r="K42" s="24" t="str">
        <f>"270,0"</f>
        <v>270,0</v>
      </c>
      <c r="L42" s="26" t="str">
        <f>"175,2840"</f>
        <v>175,2840</v>
      </c>
      <c r="M42" s="24" t="s">
        <v>21</v>
      </c>
    </row>
    <row r="43" spans="1:13" ht="12.75">
      <c r="A43" s="13" t="s">
        <v>274</v>
      </c>
      <c r="B43" s="13" t="s">
        <v>275</v>
      </c>
      <c r="C43" s="13" t="s">
        <v>276</v>
      </c>
      <c r="D43" s="13" t="str">
        <f>"0,6364"</f>
        <v>0,6364</v>
      </c>
      <c r="E43" s="13" t="s">
        <v>128</v>
      </c>
      <c r="F43" s="13" t="s">
        <v>129</v>
      </c>
      <c r="G43" s="15" t="s">
        <v>277</v>
      </c>
      <c r="H43" s="15" t="s">
        <v>278</v>
      </c>
      <c r="I43" s="14" t="s">
        <v>279</v>
      </c>
      <c r="J43" s="14"/>
      <c r="K43" s="13" t="str">
        <f>"217,5"</f>
        <v>217,5</v>
      </c>
      <c r="L43" s="15" t="str">
        <f>"138,4170"</f>
        <v>138,4170</v>
      </c>
      <c r="M43" s="13" t="s">
        <v>131</v>
      </c>
    </row>
    <row r="45" spans="1:12" ht="15">
      <c r="A45" s="52" t="s">
        <v>92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</row>
    <row r="46" spans="1:13" ht="12.75">
      <c r="A46" s="7" t="s">
        <v>280</v>
      </c>
      <c r="B46" s="7" t="s">
        <v>281</v>
      </c>
      <c r="C46" s="7" t="s">
        <v>282</v>
      </c>
      <c r="D46" s="7" t="str">
        <f>"0,5997"</f>
        <v>0,5997</v>
      </c>
      <c r="E46" s="7" t="s">
        <v>106</v>
      </c>
      <c r="F46" s="7" t="s">
        <v>17</v>
      </c>
      <c r="G46" s="9" t="s">
        <v>264</v>
      </c>
      <c r="H46" s="9" t="s">
        <v>283</v>
      </c>
      <c r="I46" s="8" t="s">
        <v>284</v>
      </c>
      <c r="J46" s="8"/>
      <c r="K46" s="7" t="str">
        <f>"172,5"</f>
        <v>172,5</v>
      </c>
      <c r="L46" s="9" t="str">
        <f>"111,7334"</f>
        <v>111,7334</v>
      </c>
      <c r="M46" s="7" t="s">
        <v>110</v>
      </c>
    </row>
    <row r="48" spans="1:12" ht="15">
      <c r="A48" s="52" t="s">
        <v>52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</row>
    <row r="49" spans="1:13" ht="12.75">
      <c r="A49" s="10" t="s">
        <v>169</v>
      </c>
      <c r="B49" s="10" t="s">
        <v>170</v>
      </c>
      <c r="C49" s="10" t="s">
        <v>171</v>
      </c>
      <c r="D49" s="10" t="str">
        <f>"0,5401"</f>
        <v>0,5401</v>
      </c>
      <c r="E49" s="10" t="s">
        <v>128</v>
      </c>
      <c r="F49" s="10" t="s">
        <v>17</v>
      </c>
      <c r="G49" s="12" t="s">
        <v>77</v>
      </c>
      <c r="H49" s="12" t="s">
        <v>285</v>
      </c>
      <c r="I49" s="12" t="s">
        <v>286</v>
      </c>
      <c r="J49" s="11"/>
      <c r="K49" s="10" t="str">
        <f>"262,5"</f>
        <v>262,5</v>
      </c>
      <c r="L49" s="12" t="str">
        <f>"141,7762"</f>
        <v>141,7762</v>
      </c>
      <c r="M49" s="10" t="s">
        <v>131</v>
      </c>
    </row>
    <row r="50" spans="1:13" ht="12.75">
      <c r="A50" s="13" t="s">
        <v>287</v>
      </c>
      <c r="B50" s="13" t="s">
        <v>288</v>
      </c>
      <c r="C50" s="13" t="s">
        <v>289</v>
      </c>
      <c r="D50" s="13" t="str">
        <f>"0,5435"</f>
        <v>0,5435</v>
      </c>
      <c r="E50" s="13" t="s">
        <v>128</v>
      </c>
      <c r="F50" s="13" t="s">
        <v>129</v>
      </c>
      <c r="G50" s="15" t="s">
        <v>59</v>
      </c>
      <c r="H50" s="15" t="s">
        <v>72</v>
      </c>
      <c r="I50" s="15" t="s">
        <v>172</v>
      </c>
      <c r="J50" s="14"/>
      <c r="K50" s="13" t="str">
        <f>"185,0"</f>
        <v>185,0</v>
      </c>
      <c r="L50" s="15" t="str">
        <f>"121,5619"</f>
        <v>121,5619</v>
      </c>
      <c r="M50" s="13" t="s">
        <v>131</v>
      </c>
    </row>
    <row r="52" spans="5:6" ht="15">
      <c r="E52" s="16" t="s">
        <v>36</v>
      </c>
      <c r="F52" s="16" t="s">
        <v>413</v>
      </c>
    </row>
    <row r="53" spans="5:6" ht="15">
      <c r="E53" s="16" t="s">
        <v>37</v>
      </c>
      <c r="F53" s="16" t="s">
        <v>414</v>
      </c>
    </row>
    <row r="54" spans="5:6" ht="15">
      <c r="E54" s="16" t="s">
        <v>38</v>
      </c>
      <c r="F54" s="16" t="s">
        <v>415</v>
      </c>
    </row>
    <row r="55" spans="5:6" ht="15">
      <c r="E55" s="16" t="s">
        <v>39</v>
      </c>
      <c r="F55" s="16" t="s">
        <v>416</v>
      </c>
    </row>
    <row r="56" spans="5:6" ht="15">
      <c r="E56" s="16" t="s">
        <v>39</v>
      </c>
      <c r="F56" s="16" t="s">
        <v>417</v>
      </c>
    </row>
    <row r="57" spans="5:6" ht="15">
      <c r="E57" s="16" t="s">
        <v>40</v>
      </c>
      <c r="F57" s="16" t="s">
        <v>418</v>
      </c>
    </row>
    <row r="58" ht="15">
      <c r="E58" s="16"/>
    </row>
    <row r="60" spans="1:2" ht="18">
      <c r="A60" s="17" t="s">
        <v>41</v>
      </c>
      <c r="B60" s="17"/>
    </row>
    <row r="61" spans="1:2" ht="15">
      <c r="A61" s="18" t="s">
        <v>183</v>
      </c>
      <c r="B61" s="18"/>
    </row>
    <row r="62" spans="1:5" ht="15">
      <c r="A62" s="22" t="s">
        <v>44</v>
      </c>
      <c r="B62" s="22" t="s">
        <v>45</v>
      </c>
      <c r="C62" s="22" t="s">
        <v>46</v>
      </c>
      <c r="D62" s="22" t="s">
        <v>47</v>
      </c>
      <c r="E62" s="22" t="s">
        <v>48</v>
      </c>
    </row>
    <row r="63" spans="1:5" ht="12.75">
      <c r="A63" s="19" t="s">
        <v>243</v>
      </c>
      <c r="B63" s="4" t="s">
        <v>43</v>
      </c>
      <c r="C63" s="4" t="s">
        <v>194</v>
      </c>
      <c r="D63" s="4" t="s">
        <v>19</v>
      </c>
      <c r="E63" s="23" t="s">
        <v>292</v>
      </c>
    </row>
    <row r="64" spans="1:5" ht="12.75">
      <c r="A64" s="19" t="s">
        <v>484</v>
      </c>
      <c r="B64" s="4" t="s">
        <v>43</v>
      </c>
      <c r="C64" s="4" t="s">
        <v>185</v>
      </c>
      <c r="D64" s="4" t="s">
        <v>18</v>
      </c>
      <c r="E64" s="23" t="s">
        <v>293</v>
      </c>
    </row>
    <row r="65" spans="1:5" ht="12.75">
      <c r="A65" s="19" t="s">
        <v>485</v>
      </c>
      <c r="B65" s="4" t="s">
        <v>184</v>
      </c>
      <c r="C65" s="4" t="s">
        <v>290</v>
      </c>
      <c r="D65" s="4" t="s">
        <v>213</v>
      </c>
      <c r="E65" s="23" t="s">
        <v>483</v>
      </c>
    </row>
    <row r="66" spans="1:5" ht="12.75">
      <c r="A66" s="19" t="s">
        <v>486</v>
      </c>
      <c r="B66" s="4" t="s">
        <v>43</v>
      </c>
      <c r="C66" s="4" t="s">
        <v>100</v>
      </c>
      <c r="D66" s="4" t="s">
        <v>222</v>
      </c>
      <c r="E66" s="23" t="s">
        <v>294</v>
      </c>
    </row>
    <row r="67" spans="1:5" ht="12.75">
      <c r="A67" s="19" t="s">
        <v>487</v>
      </c>
      <c r="B67" s="4" t="s">
        <v>43</v>
      </c>
      <c r="C67" s="4" t="s">
        <v>100</v>
      </c>
      <c r="D67" s="4" t="s">
        <v>222</v>
      </c>
      <c r="E67" s="23" t="s">
        <v>295</v>
      </c>
    </row>
    <row r="68" spans="1:5" ht="12.75">
      <c r="A68" s="19" t="s">
        <v>488</v>
      </c>
      <c r="B68" s="4" t="s">
        <v>43</v>
      </c>
      <c r="C68" s="4" t="s">
        <v>194</v>
      </c>
      <c r="D68" s="4" t="s">
        <v>249</v>
      </c>
      <c r="E68" s="23" t="s">
        <v>296</v>
      </c>
    </row>
    <row r="69" spans="1:5" ht="12.75">
      <c r="A69" s="19" t="s">
        <v>489</v>
      </c>
      <c r="B69" s="4" t="s">
        <v>43</v>
      </c>
      <c r="C69" s="4" t="s">
        <v>185</v>
      </c>
      <c r="D69" s="4" t="s">
        <v>226</v>
      </c>
      <c r="E69" s="23" t="s">
        <v>297</v>
      </c>
    </row>
    <row r="70" spans="1:5" ht="12.75">
      <c r="A70" s="19" t="s">
        <v>490</v>
      </c>
      <c r="B70" s="4" t="s">
        <v>184</v>
      </c>
      <c r="C70" s="4" t="s">
        <v>185</v>
      </c>
      <c r="D70" s="4" t="s">
        <v>228</v>
      </c>
      <c r="E70" s="23" t="s">
        <v>291</v>
      </c>
    </row>
    <row r="71" spans="1:5" ht="12.75">
      <c r="A71" s="19" t="s">
        <v>491</v>
      </c>
      <c r="B71" s="4" t="s">
        <v>43</v>
      </c>
      <c r="C71" s="4" t="s">
        <v>186</v>
      </c>
      <c r="D71" s="4" t="s">
        <v>217</v>
      </c>
      <c r="E71" s="23" t="s">
        <v>298</v>
      </c>
    </row>
  </sheetData>
  <sheetProtection/>
  <mergeCells count="23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40:L40"/>
    <mergeCell ref="A45:L45"/>
    <mergeCell ref="A48:L48"/>
    <mergeCell ref="A16:L16"/>
    <mergeCell ref="A23:L23"/>
    <mergeCell ref="A28:L28"/>
    <mergeCell ref="A31:L31"/>
    <mergeCell ref="A34:L34"/>
    <mergeCell ref="A37:L3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M7" sqref="M7"/>
    </sheetView>
  </sheetViews>
  <sheetFormatPr defaultColWidth="9.125" defaultRowHeight="12.75"/>
  <cols>
    <col min="1" max="1" width="26.00390625" style="4" bestFit="1" customWidth="1"/>
    <col min="2" max="2" width="28.37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4.7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31.375" style="4" bestFit="1" customWidth="1"/>
    <col min="14" max="16384" width="9.125" style="3" customWidth="1"/>
  </cols>
  <sheetData>
    <row r="1" spans="1:13" s="2" customFormat="1" ht="28.5" customHeight="1">
      <c r="A1" s="42" t="s">
        <v>412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6</v>
      </c>
      <c r="C3" s="50" t="s">
        <v>7</v>
      </c>
      <c r="D3" s="36" t="s">
        <v>10</v>
      </c>
      <c r="E3" s="36" t="s">
        <v>4</v>
      </c>
      <c r="F3" s="36" t="s">
        <v>8</v>
      </c>
      <c r="G3" s="36" t="s">
        <v>11</v>
      </c>
      <c r="H3" s="36"/>
      <c r="I3" s="36"/>
      <c r="J3" s="36"/>
      <c r="K3" s="36" t="s">
        <v>50</v>
      </c>
      <c r="L3" s="36" t="s">
        <v>3</v>
      </c>
      <c r="M3" s="38" t="s">
        <v>2</v>
      </c>
    </row>
    <row r="4" spans="1:13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2" ht="15">
      <c r="A5" s="40" t="s">
        <v>12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3" ht="12.75">
      <c r="A6" s="7" t="s">
        <v>202</v>
      </c>
      <c r="B6" s="7" t="s">
        <v>203</v>
      </c>
      <c r="C6" s="7" t="s">
        <v>204</v>
      </c>
      <c r="D6" s="7" t="str">
        <f>"0,6238"</f>
        <v>0,6238</v>
      </c>
      <c r="E6" s="7" t="s">
        <v>16</v>
      </c>
      <c r="F6" s="7" t="s">
        <v>205</v>
      </c>
      <c r="G6" s="8" t="s">
        <v>72</v>
      </c>
      <c r="H6" s="9" t="s">
        <v>72</v>
      </c>
      <c r="I6" s="9" t="s">
        <v>172</v>
      </c>
      <c r="J6" s="8"/>
      <c r="K6" s="7" t="str">
        <f>"185,0"</f>
        <v>185,0</v>
      </c>
      <c r="L6" s="9" t="str">
        <f>"115,4030"</f>
        <v>115,4030</v>
      </c>
      <c r="M6" s="7" t="s">
        <v>479</v>
      </c>
    </row>
    <row r="8" spans="5:6" ht="15">
      <c r="E8" s="16" t="s">
        <v>36</v>
      </c>
      <c r="F8" s="16" t="s">
        <v>413</v>
      </c>
    </row>
    <row r="9" spans="5:6" ht="15">
      <c r="E9" s="16" t="s">
        <v>37</v>
      </c>
      <c r="F9" s="16" t="s">
        <v>414</v>
      </c>
    </row>
    <row r="10" spans="5:6" ht="15">
      <c r="E10" s="16" t="s">
        <v>38</v>
      </c>
      <c r="F10" s="16" t="s">
        <v>415</v>
      </c>
    </row>
    <row r="11" spans="5:6" ht="15">
      <c r="E11" s="16" t="s">
        <v>39</v>
      </c>
      <c r="F11" s="16" t="s">
        <v>416</v>
      </c>
    </row>
    <row r="12" spans="5:6" ht="15">
      <c r="E12" s="16" t="s">
        <v>39</v>
      </c>
      <c r="F12" s="16" t="s">
        <v>417</v>
      </c>
    </row>
    <row r="13" spans="5:6" ht="15">
      <c r="E13" s="16" t="s">
        <v>40</v>
      </c>
      <c r="F13" s="16" t="s">
        <v>418</v>
      </c>
    </row>
    <row r="14" ht="15">
      <c r="E14" s="16"/>
    </row>
    <row r="16" spans="1:2" ht="18">
      <c r="A16" s="17"/>
      <c r="B16" s="17"/>
    </row>
    <row r="17" spans="1:2" ht="15">
      <c r="A17" s="18"/>
      <c r="B17" s="18"/>
    </row>
    <row r="18" spans="1:2" ht="14.25">
      <c r="A18" s="20"/>
      <c r="B18" s="21"/>
    </row>
    <row r="19" spans="1:5" ht="15">
      <c r="A19" s="1"/>
      <c r="B19" s="1"/>
      <c r="C19" s="1"/>
      <c r="D19" s="1"/>
      <c r="E19" s="1"/>
    </row>
    <row r="20" spans="1:5" ht="12.75">
      <c r="A20" s="19"/>
      <c r="E20" s="23"/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13" sqref="M13"/>
    </sheetView>
  </sheetViews>
  <sheetFormatPr defaultColWidth="9.1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29.00390625" style="4" bestFit="1" customWidth="1"/>
    <col min="14" max="16384" width="9.125" style="3" customWidth="1"/>
  </cols>
  <sheetData>
    <row r="1" spans="1:13" s="2" customFormat="1" ht="28.5" customHeight="1">
      <c r="A1" s="42" t="s">
        <v>196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6</v>
      </c>
      <c r="C3" s="50" t="s">
        <v>7</v>
      </c>
      <c r="D3" s="36" t="s">
        <v>10</v>
      </c>
      <c r="E3" s="36" t="s">
        <v>4</v>
      </c>
      <c r="F3" s="36" t="s">
        <v>8</v>
      </c>
      <c r="G3" s="36" t="s">
        <v>11</v>
      </c>
      <c r="H3" s="36"/>
      <c r="I3" s="36"/>
      <c r="J3" s="36"/>
      <c r="K3" s="36" t="s">
        <v>50</v>
      </c>
      <c r="L3" s="36" t="s">
        <v>3</v>
      </c>
      <c r="M3" s="38" t="s">
        <v>2</v>
      </c>
    </row>
    <row r="4" spans="1:13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2" ht="15">
      <c r="A5" s="40" t="s">
        <v>52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3" ht="12.75">
      <c r="A6" s="7" t="s">
        <v>53</v>
      </c>
      <c r="B6" s="7" t="s">
        <v>54</v>
      </c>
      <c r="C6" s="7" t="s">
        <v>55</v>
      </c>
      <c r="D6" s="7" t="str">
        <f>"0,5372"</f>
        <v>0,5372</v>
      </c>
      <c r="E6" s="7" t="s">
        <v>16</v>
      </c>
      <c r="F6" s="7" t="s">
        <v>56</v>
      </c>
      <c r="G6" s="9" t="s">
        <v>29</v>
      </c>
      <c r="H6" s="8" t="s">
        <v>172</v>
      </c>
      <c r="I6" s="8" t="s">
        <v>172</v>
      </c>
      <c r="J6" s="8"/>
      <c r="K6" s="7" t="str">
        <f>"180,0"</f>
        <v>180,0</v>
      </c>
      <c r="L6" s="9" t="str">
        <f>"96,6870"</f>
        <v>96,6870</v>
      </c>
      <c r="M6" s="7" t="s">
        <v>60</v>
      </c>
    </row>
    <row r="8" spans="1:12" ht="15">
      <c r="A8" s="52" t="s">
        <v>22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 ht="12.75">
      <c r="A9" s="10" t="s">
        <v>197</v>
      </c>
      <c r="B9" s="10" t="s">
        <v>198</v>
      </c>
      <c r="C9" s="10" t="s">
        <v>199</v>
      </c>
      <c r="D9" s="10" t="str">
        <f>"0,5353"</f>
        <v>0,5353</v>
      </c>
      <c r="E9" s="10" t="s">
        <v>128</v>
      </c>
      <c r="F9" s="10" t="s">
        <v>129</v>
      </c>
      <c r="G9" s="12" t="s">
        <v>72</v>
      </c>
      <c r="H9" s="12" t="s">
        <v>30</v>
      </c>
      <c r="I9" s="12" t="s">
        <v>200</v>
      </c>
      <c r="J9" s="11"/>
      <c r="K9" s="10" t="str">
        <f>"192,5"</f>
        <v>192,5</v>
      </c>
      <c r="L9" s="12" t="str">
        <f>"103,0453"</f>
        <v>103,0453</v>
      </c>
      <c r="M9" s="10" t="s">
        <v>131</v>
      </c>
    </row>
    <row r="10" spans="1:13" ht="12.75">
      <c r="A10" s="13" t="s">
        <v>197</v>
      </c>
      <c r="B10" s="13" t="s">
        <v>201</v>
      </c>
      <c r="C10" s="13" t="s">
        <v>199</v>
      </c>
      <c r="D10" s="13" t="str">
        <f>"0,5353"</f>
        <v>0,5353</v>
      </c>
      <c r="E10" s="13" t="s">
        <v>128</v>
      </c>
      <c r="F10" s="13" t="s">
        <v>129</v>
      </c>
      <c r="G10" s="15" t="s">
        <v>72</v>
      </c>
      <c r="H10" s="15" t="s">
        <v>30</v>
      </c>
      <c r="I10" s="15" t="s">
        <v>200</v>
      </c>
      <c r="J10" s="14"/>
      <c r="K10" s="13" t="str">
        <f>"192,5"</f>
        <v>192,5</v>
      </c>
      <c r="L10" s="15" t="str">
        <f>"103,3544"</f>
        <v>103,3544</v>
      </c>
      <c r="M10" s="13" t="s">
        <v>131</v>
      </c>
    </row>
    <row r="12" spans="5:6" ht="15">
      <c r="E12" s="16" t="s">
        <v>36</v>
      </c>
      <c r="F12" s="16" t="s">
        <v>413</v>
      </c>
    </row>
    <row r="13" spans="5:6" ht="15">
      <c r="E13" s="16" t="s">
        <v>37</v>
      </c>
      <c r="F13" s="16" t="s">
        <v>414</v>
      </c>
    </row>
    <row r="14" spans="5:6" ht="15">
      <c r="E14" s="16" t="s">
        <v>38</v>
      </c>
      <c r="F14" s="16" t="s">
        <v>415</v>
      </c>
    </row>
    <row r="15" spans="5:6" ht="15">
      <c r="E15" s="16" t="s">
        <v>39</v>
      </c>
      <c r="F15" s="16" t="s">
        <v>416</v>
      </c>
    </row>
    <row r="16" spans="5:6" ht="15">
      <c r="E16" s="16" t="s">
        <v>39</v>
      </c>
      <c r="F16" s="16" t="s">
        <v>417</v>
      </c>
    </row>
    <row r="17" spans="5:6" ht="15">
      <c r="E17" s="16" t="s">
        <v>40</v>
      </c>
      <c r="F17" s="16" t="s">
        <v>418</v>
      </c>
    </row>
    <row r="18" ht="15">
      <c r="E18" s="16"/>
    </row>
    <row r="20" spans="1:2" ht="18">
      <c r="A20" s="17"/>
      <c r="B20" s="17"/>
    </row>
    <row r="21" spans="1:2" ht="15">
      <c r="A21" s="18"/>
      <c r="B21" s="18"/>
    </row>
    <row r="22" spans="1:2" ht="14.25">
      <c r="A22" s="20"/>
      <c r="B22" s="21"/>
    </row>
    <row r="23" spans="1:5" ht="15">
      <c r="A23" s="1"/>
      <c r="B23" s="1"/>
      <c r="C23" s="1"/>
      <c r="D23" s="1"/>
      <c r="E23" s="1"/>
    </row>
    <row r="24" spans="1:5" ht="12.75">
      <c r="A24" s="19"/>
      <c r="E24" s="23"/>
    </row>
    <row r="25" spans="1:5" ht="12.75">
      <c r="A25" s="19"/>
      <c r="E25" s="23"/>
    </row>
    <row r="27" spans="1:2" ht="14.25">
      <c r="A27" s="20"/>
      <c r="B27" s="21"/>
    </row>
    <row r="28" spans="1:5" ht="15">
      <c r="A28" s="1"/>
      <c r="B28" s="1"/>
      <c r="C28" s="1"/>
      <c r="D28" s="1"/>
      <c r="E28" s="1"/>
    </row>
    <row r="29" spans="1:5" ht="12.75">
      <c r="A29" s="19"/>
      <c r="E29" s="23"/>
    </row>
  </sheetData>
  <sheetProtection/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28">
      <selection activeCell="A63" sqref="A63"/>
    </sheetView>
  </sheetViews>
  <sheetFormatPr defaultColWidth="9.125" defaultRowHeight="12.75"/>
  <cols>
    <col min="1" max="1" width="26.00390625" style="4" bestFit="1" customWidth="1"/>
    <col min="2" max="2" width="29.00390625" style="4" bestFit="1" customWidth="1"/>
    <col min="3" max="3" width="15.375" style="4" customWidth="1"/>
    <col min="4" max="4" width="9.25390625" style="4" bestFit="1" customWidth="1"/>
    <col min="5" max="5" width="31.75390625" style="4" bestFit="1" customWidth="1"/>
    <col min="6" max="6" width="29.00390625" style="4" bestFit="1" customWidth="1"/>
    <col min="7" max="9" width="5.625" style="3" bestFit="1" customWidth="1"/>
    <col min="10" max="10" width="4.875" style="3" bestFit="1" customWidth="1"/>
    <col min="11" max="11" width="11.25390625" style="4" customWidth="1"/>
    <col min="12" max="12" width="8.625" style="3" bestFit="1" customWidth="1"/>
    <col min="13" max="13" width="31.00390625" style="4" bestFit="1" customWidth="1"/>
    <col min="14" max="16384" width="9.125" style="3" customWidth="1"/>
  </cols>
  <sheetData>
    <row r="1" spans="1:13" s="2" customFormat="1" ht="28.5" customHeight="1">
      <c r="A1" s="42" t="s">
        <v>101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6</v>
      </c>
      <c r="C3" s="50" t="s">
        <v>7</v>
      </c>
      <c r="D3" s="36" t="s">
        <v>10</v>
      </c>
      <c r="E3" s="36" t="s">
        <v>4</v>
      </c>
      <c r="F3" s="36" t="s">
        <v>8</v>
      </c>
      <c r="G3" s="36" t="s">
        <v>11</v>
      </c>
      <c r="H3" s="36"/>
      <c r="I3" s="36"/>
      <c r="J3" s="36"/>
      <c r="K3" s="36" t="s">
        <v>50</v>
      </c>
      <c r="L3" s="36" t="s">
        <v>3</v>
      </c>
      <c r="M3" s="38" t="s">
        <v>2</v>
      </c>
    </row>
    <row r="4" spans="1:13" s="1" customFormat="1" ht="15.75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2" ht="15">
      <c r="A5" s="40" t="s">
        <v>102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3" ht="12.75">
      <c r="A6" s="7" t="s">
        <v>103</v>
      </c>
      <c r="B6" s="7" t="s">
        <v>104</v>
      </c>
      <c r="C6" s="7" t="s">
        <v>105</v>
      </c>
      <c r="D6" s="7" t="str">
        <f>"0,9754"</f>
        <v>0,9754</v>
      </c>
      <c r="E6" s="7" t="s">
        <v>106</v>
      </c>
      <c r="F6" s="7" t="s">
        <v>17</v>
      </c>
      <c r="G6" s="9" t="s">
        <v>107</v>
      </c>
      <c r="H6" s="9" t="s">
        <v>108</v>
      </c>
      <c r="I6" s="8" t="s">
        <v>109</v>
      </c>
      <c r="J6" s="8"/>
      <c r="K6" s="7" t="str">
        <f>"45,0"</f>
        <v>45,0</v>
      </c>
      <c r="L6" s="9" t="str">
        <f>"43,8952"</f>
        <v>43,8952</v>
      </c>
      <c r="M6" s="7" t="s">
        <v>110</v>
      </c>
    </row>
    <row r="8" spans="1:12" ht="15">
      <c r="A8" s="52" t="s">
        <v>111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 ht="12.75">
      <c r="A9" s="7" t="s">
        <v>112</v>
      </c>
      <c r="B9" s="7" t="s">
        <v>113</v>
      </c>
      <c r="C9" s="7" t="s">
        <v>114</v>
      </c>
      <c r="D9" s="7" t="str">
        <f>"0,9124"</f>
        <v>0,9124</v>
      </c>
      <c r="E9" s="7" t="s">
        <v>106</v>
      </c>
      <c r="F9" s="7" t="s">
        <v>17</v>
      </c>
      <c r="G9" s="9" t="s">
        <v>115</v>
      </c>
      <c r="H9" s="8" t="s">
        <v>116</v>
      </c>
      <c r="I9" s="8" t="s">
        <v>116</v>
      </c>
      <c r="J9" s="8"/>
      <c r="K9" s="7" t="str">
        <f>"50,0"</f>
        <v>50,0</v>
      </c>
      <c r="L9" s="9" t="str">
        <f>"45,6200"</f>
        <v>45,6200</v>
      </c>
      <c r="M9" s="7" t="s">
        <v>110</v>
      </c>
    </row>
    <row r="11" spans="1:12" ht="15">
      <c r="A11" s="52" t="s">
        <v>86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3" ht="12.75">
      <c r="A12" s="7" t="s">
        <v>117</v>
      </c>
      <c r="B12" s="7" t="s">
        <v>118</v>
      </c>
      <c r="C12" s="7" t="s">
        <v>119</v>
      </c>
      <c r="D12" s="7" t="str">
        <f>"0,8954"</f>
        <v>0,8954</v>
      </c>
      <c r="E12" s="7" t="s">
        <v>106</v>
      </c>
      <c r="F12" s="7" t="s">
        <v>17</v>
      </c>
      <c r="G12" s="9" t="s">
        <v>120</v>
      </c>
      <c r="H12" s="9" t="s">
        <v>121</v>
      </c>
      <c r="I12" s="8" t="s">
        <v>122</v>
      </c>
      <c r="J12" s="8"/>
      <c r="K12" s="7" t="str">
        <f>"65,0"</f>
        <v>65,0</v>
      </c>
      <c r="L12" s="9" t="str">
        <f>"105,3438"</f>
        <v>105,3438</v>
      </c>
      <c r="M12" s="7" t="s">
        <v>123</v>
      </c>
    </row>
    <row r="14" spans="1:12" ht="15">
      <c r="A14" s="52" t="s">
        <v>124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3" ht="12.75">
      <c r="A15" s="10" t="s">
        <v>125</v>
      </c>
      <c r="B15" s="10" t="s">
        <v>126</v>
      </c>
      <c r="C15" s="10" t="s">
        <v>127</v>
      </c>
      <c r="D15" s="10" t="str">
        <f>"0,8153"</f>
        <v>0,8153</v>
      </c>
      <c r="E15" s="10" t="s">
        <v>128</v>
      </c>
      <c r="F15" s="10" t="s">
        <v>129</v>
      </c>
      <c r="G15" s="11" t="s">
        <v>115</v>
      </c>
      <c r="H15" s="12" t="s">
        <v>116</v>
      </c>
      <c r="I15" s="11" t="s">
        <v>130</v>
      </c>
      <c r="J15" s="11"/>
      <c r="K15" s="10" t="str">
        <f>"52,5"</f>
        <v>52,5</v>
      </c>
      <c r="L15" s="12" t="str">
        <f>"42,8059"</f>
        <v>42,8059</v>
      </c>
      <c r="M15" s="10" t="s">
        <v>131</v>
      </c>
    </row>
    <row r="16" spans="1:17" ht="12.75">
      <c r="A16" s="13" t="s">
        <v>235</v>
      </c>
      <c r="B16" s="13" t="s">
        <v>236</v>
      </c>
      <c r="C16" s="13" t="s">
        <v>237</v>
      </c>
      <c r="D16" s="13" t="str">
        <f>"0,8084"</f>
        <v>0,8084</v>
      </c>
      <c r="E16" s="13" t="s">
        <v>128</v>
      </c>
      <c r="F16" s="13" t="s">
        <v>129</v>
      </c>
      <c r="G16" s="14" t="s">
        <v>115</v>
      </c>
      <c r="H16" s="14" t="s">
        <v>116</v>
      </c>
      <c r="I16" s="15" t="s">
        <v>116</v>
      </c>
      <c r="J16" s="14"/>
      <c r="K16" s="13" t="s">
        <v>116</v>
      </c>
      <c r="L16" s="15" t="s">
        <v>480</v>
      </c>
      <c r="M16" s="13" t="s">
        <v>131</v>
      </c>
      <c r="N16" s="33"/>
      <c r="O16" s="4"/>
      <c r="Q16" s="4"/>
    </row>
    <row r="17" spans="7:17" ht="12.75">
      <c r="G17" s="33"/>
      <c r="H17" s="33"/>
      <c r="J17" s="33"/>
      <c r="K17" s="33"/>
      <c r="M17" s="3"/>
      <c r="N17" s="33"/>
      <c r="O17" s="4"/>
      <c r="Q17" s="4"/>
    </row>
    <row r="18" spans="1:12" ht="15">
      <c r="A18" s="52" t="s">
        <v>102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</row>
    <row r="19" spans="1:13" ht="12.75">
      <c r="A19" s="7" t="s">
        <v>132</v>
      </c>
      <c r="B19" s="7" t="s">
        <v>133</v>
      </c>
      <c r="C19" s="7" t="s">
        <v>134</v>
      </c>
      <c r="D19" s="7" t="str">
        <f>"1,0799"</f>
        <v>1,0799</v>
      </c>
      <c r="E19" s="7" t="s">
        <v>135</v>
      </c>
      <c r="F19" s="7" t="s">
        <v>136</v>
      </c>
      <c r="G19" s="9" t="s">
        <v>137</v>
      </c>
      <c r="H19" s="9" t="s">
        <v>138</v>
      </c>
      <c r="I19" s="9" t="s">
        <v>139</v>
      </c>
      <c r="J19" s="8"/>
      <c r="K19" s="7" t="str">
        <f>"37,5"</f>
        <v>37,5</v>
      </c>
      <c r="L19" s="9" t="str">
        <f>"49,8104"</f>
        <v>49,8104</v>
      </c>
      <c r="M19" s="34" t="s">
        <v>140</v>
      </c>
    </row>
    <row r="21" spans="1:12" ht="15">
      <c r="A21" s="52" t="s">
        <v>141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</row>
    <row r="22" spans="1:13" ht="12.75">
      <c r="A22" s="7" t="s">
        <v>142</v>
      </c>
      <c r="B22" s="7" t="s">
        <v>143</v>
      </c>
      <c r="C22" s="7" t="s">
        <v>144</v>
      </c>
      <c r="D22" s="7" t="str">
        <f>"0,6752"</f>
        <v>0,6752</v>
      </c>
      <c r="E22" s="7" t="s">
        <v>128</v>
      </c>
      <c r="F22" s="7" t="s">
        <v>129</v>
      </c>
      <c r="G22" s="9" t="s">
        <v>98</v>
      </c>
      <c r="H22" s="8" t="s">
        <v>145</v>
      </c>
      <c r="I22" s="8" t="s">
        <v>145</v>
      </c>
      <c r="J22" s="8"/>
      <c r="K22" s="7" t="str">
        <f>"110,0"</f>
        <v>110,0</v>
      </c>
      <c r="L22" s="9" t="str">
        <f>"74,2720"</f>
        <v>74,2720</v>
      </c>
      <c r="M22" s="7" t="s">
        <v>131</v>
      </c>
    </row>
    <row r="24" spans="1:12" ht="15">
      <c r="A24" s="52" t="s">
        <v>92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</row>
    <row r="25" spans="1:13" ht="12.75">
      <c r="A25" s="10" t="s">
        <v>146</v>
      </c>
      <c r="B25" s="10" t="s">
        <v>147</v>
      </c>
      <c r="C25" s="10" t="s">
        <v>148</v>
      </c>
      <c r="D25" s="10" t="str">
        <f>"0,5889"</f>
        <v>0,5889</v>
      </c>
      <c r="E25" s="10" t="s">
        <v>16</v>
      </c>
      <c r="F25" s="10" t="s">
        <v>17</v>
      </c>
      <c r="G25" s="12" t="s">
        <v>149</v>
      </c>
      <c r="H25" s="11" t="s">
        <v>59</v>
      </c>
      <c r="I25" s="11"/>
      <c r="J25" s="11"/>
      <c r="K25" s="10" t="str">
        <f>"155,0"</f>
        <v>155,0</v>
      </c>
      <c r="L25" s="12" t="str">
        <f>"92,1923"</f>
        <v>92,1923</v>
      </c>
      <c r="M25" s="10" t="s">
        <v>477</v>
      </c>
    </row>
    <row r="26" spans="1:13" ht="12.75">
      <c r="A26" s="24" t="s">
        <v>151</v>
      </c>
      <c r="B26" s="24" t="s">
        <v>152</v>
      </c>
      <c r="C26" s="24" t="s">
        <v>153</v>
      </c>
      <c r="D26" s="24" t="str">
        <f>"0,5945"</f>
        <v>0,5945</v>
      </c>
      <c r="E26" s="24" t="s">
        <v>16</v>
      </c>
      <c r="F26" s="24" t="s">
        <v>17</v>
      </c>
      <c r="G26" s="26" t="s">
        <v>59</v>
      </c>
      <c r="H26" s="25" t="s">
        <v>35</v>
      </c>
      <c r="I26" s="25" t="s">
        <v>35</v>
      </c>
      <c r="J26" s="25"/>
      <c r="K26" s="24" t="str">
        <f>"160,0"</f>
        <v>160,0</v>
      </c>
      <c r="L26" s="26" t="str">
        <f>"95,1200"</f>
        <v>95,1200</v>
      </c>
      <c r="M26" s="24" t="s">
        <v>21</v>
      </c>
    </row>
    <row r="27" spans="1:13" ht="12.75">
      <c r="A27" s="13" t="s">
        <v>154</v>
      </c>
      <c r="B27" s="13" t="s">
        <v>155</v>
      </c>
      <c r="C27" s="13" t="s">
        <v>156</v>
      </c>
      <c r="D27" s="13" t="str">
        <f>"0,5991"</f>
        <v>0,5991</v>
      </c>
      <c r="E27" s="13" t="s">
        <v>16</v>
      </c>
      <c r="F27" s="13" t="s">
        <v>17</v>
      </c>
      <c r="G27" s="15" t="s">
        <v>157</v>
      </c>
      <c r="H27" s="14" t="s">
        <v>149</v>
      </c>
      <c r="I27" s="14" t="s">
        <v>149</v>
      </c>
      <c r="J27" s="14"/>
      <c r="K27" s="13" t="str">
        <f>"150,0"</f>
        <v>150,0</v>
      </c>
      <c r="L27" s="15" t="str">
        <f>"89,8650"</f>
        <v>89,8650</v>
      </c>
      <c r="M27" s="13" t="s">
        <v>158</v>
      </c>
    </row>
    <row r="29" spans="1:12" ht="15">
      <c r="A29" s="52" t="s">
        <v>68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spans="1:13" ht="12.75">
      <c r="A30" s="10" t="s">
        <v>159</v>
      </c>
      <c r="B30" s="10" t="s">
        <v>160</v>
      </c>
      <c r="C30" s="10" t="s">
        <v>161</v>
      </c>
      <c r="D30" s="10" t="str">
        <f>"0,5610"</f>
        <v>0,5610</v>
      </c>
      <c r="E30" s="10" t="s">
        <v>16</v>
      </c>
      <c r="F30" s="10" t="s">
        <v>17</v>
      </c>
      <c r="G30" s="12" t="s">
        <v>162</v>
      </c>
      <c r="H30" s="11" t="s">
        <v>34</v>
      </c>
      <c r="I30" s="11" t="s">
        <v>34</v>
      </c>
      <c r="J30" s="11"/>
      <c r="K30" s="10" t="str">
        <f>"152,5"</f>
        <v>152,5</v>
      </c>
      <c r="L30" s="12" t="str">
        <f>"87,2635"</f>
        <v>87,2635</v>
      </c>
      <c r="M30" s="10" t="s">
        <v>477</v>
      </c>
    </row>
    <row r="31" spans="1:13" ht="12.75">
      <c r="A31" s="13" t="s">
        <v>163</v>
      </c>
      <c r="B31" s="13" t="s">
        <v>164</v>
      </c>
      <c r="C31" s="13" t="s">
        <v>165</v>
      </c>
      <c r="D31" s="13" t="str">
        <f>"0,5714"</f>
        <v>0,5714</v>
      </c>
      <c r="E31" s="13" t="s">
        <v>166</v>
      </c>
      <c r="F31" s="13" t="s">
        <v>167</v>
      </c>
      <c r="G31" s="15" t="s">
        <v>20</v>
      </c>
      <c r="H31" s="15" t="s">
        <v>57</v>
      </c>
      <c r="I31" s="14"/>
      <c r="J31" s="14"/>
      <c r="K31" s="13" t="str">
        <f>"140,0"</f>
        <v>140,0</v>
      </c>
      <c r="L31" s="15" t="str">
        <f>"79,9960"</f>
        <v>79,9960</v>
      </c>
      <c r="M31" s="13" t="s">
        <v>476</v>
      </c>
    </row>
    <row r="33" spans="1:12" ht="15">
      <c r="A33" s="52" t="s">
        <v>52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</row>
    <row r="34" spans="1:13" ht="12.75">
      <c r="A34" s="7" t="s">
        <v>169</v>
      </c>
      <c r="B34" s="7" t="s">
        <v>170</v>
      </c>
      <c r="C34" s="7" t="s">
        <v>171</v>
      </c>
      <c r="D34" s="7" t="str">
        <f>"0,5401"</f>
        <v>0,5401</v>
      </c>
      <c r="E34" s="7" t="s">
        <v>128</v>
      </c>
      <c r="F34" s="7" t="s">
        <v>17</v>
      </c>
      <c r="G34" s="9" t="s">
        <v>157</v>
      </c>
      <c r="H34" s="8" t="s">
        <v>149</v>
      </c>
      <c r="I34" s="8" t="s">
        <v>149</v>
      </c>
      <c r="J34" s="8"/>
      <c r="K34" s="7" t="str">
        <f>"150,0"</f>
        <v>150,0</v>
      </c>
      <c r="L34" s="9" t="str">
        <f>"81,0150"</f>
        <v>81,0150</v>
      </c>
      <c r="M34" s="7" t="s">
        <v>131</v>
      </c>
    </row>
    <row r="36" spans="1:12" ht="15">
      <c r="A36" s="52" t="s">
        <v>22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</row>
    <row r="37" spans="1:13" ht="12.75">
      <c r="A37" s="10" t="s">
        <v>23</v>
      </c>
      <c r="B37" s="10" t="s">
        <v>24</v>
      </c>
      <c r="C37" s="10" t="s">
        <v>25</v>
      </c>
      <c r="D37" s="10" t="str">
        <f>"0,5304"</f>
        <v>0,5304</v>
      </c>
      <c r="E37" s="10" t="s">
        <v>26</v>
      </c>
      <c r="F37" s="10" t="s">
        <v>27</v>
      </c>
      <c r="G37" s="12" t="s">
        <v>29</v>
      </c>
      <c r="H37" s="12" t="s">
        <v>172</v>
      </c>
      <c r="I37" s="12" t="s">
        <v>173</v>
      </c>
      <c r="J37" s="11"/>
      <c r="K37" s="10" t="str">
        <f>"190,0"</f>
        <v>190,0</v>
      </c>
      <c r="L37" s="12" t="str">
        <f>"100,7665"</f>
        <v>100,7665</v>
      </c>
      <c r="M37" s="10" t="s">
        <v>21</v>
      </c>
    </row>
    <row r="38" spans="1:13" ht="12.75">
      <c r="A38" s="24" t="s">
        <v>174</v>
      </c>
      <c r="B38" s="24" t="s">
        <v>175</v>
      </c>
      <c r="C38" s="24" t="s">
        <v>176</v>
      </c>
      <c r="D38" s="24" t="str">
        <f>"0,5260"</f>
        <v>0,5260</v>
      </c>
      <c r="E38" s="24" t="s">
        <v>26</v>
      </c>
      <c r="F38" s="24" t="s">
        <v>27</v>
      </c>
      <c r="G38" s="25" t="s">
        <v>28</v>
      </c>
      <c r="H38" s="26" t="s">
        <v>72</v>
      </c>
      <c r="I38" s="26" t="s">
        <v>29</v>
      </c>
      <c r="J38" s="25"/>
      <c r="K38" s="24" t="str">
        <f>"180,0"</f>
        <v>180,0</v>
      </c>
      <c r="L38" s="26" t="str">
        <f>"94,6800"</f>
        <v>94,6800</v>
      </c>
      <c r="M38" s="24" t="s">
        <v>177</v>
      </c>
    </row>
    <row r="39" spans="1:13" ht="12.75">
      <c r="A39" s="13" t="s">
        <v>178</v>
      </c>
      <c r="B39" s="13" t="s">
        <v>179</v>
      </c>
      <c r="C39" s="13" t="s">
        <v>180</v>
      </c>
      <c r="D39" s="13" t="str">
        <f>"0,5302"</f>
        <v>0,5302</v>
      </c>
      <c r="E39" s="13" t="s">
        <v>166</v>
      </c>
      <c r="F39" s="13" t="s">
        <v>167</v>
      </c>
      <c r="G39" s="15" t="s">
        <v>57</v>
      </c>
      <c r="H39" s="15" t="s">
        <v>181</v>
      </c>
      <c r="I39" s="14" t="s">
        <v>149</v>
      </c>
      <c r="J39" s="14"/>
      <c r="K39" s="13" t="str">
        <f>"147,5"</f>
        <v>147,5</v>
      </c>
      <c r="L39" s="15" t="str">
        <f>"78,2045"</f>
        <v>78,2045</v>
      </c>
      <c r="M39" s="13" t="s">
        <v>182</v>
      </c>
    </row>
    <row r="41" spans="5:6" ht="15">
      <c r="E41" s="16" t="s">
        <v>36</v>
      </c>
      <c r="F41" s="16" t="s">
        <v>413</v>
      </c>
    </row>
    <row r="42" spans="5:6" ht="15">
      <c r="E42" s="16" t="s">
        <v>37</v>
      </c>
      <c r="F42" s="16" t="s">
        <v>414</v>
      </c>
    </row>
    <row r="43" spans="5:6" ht="15">
      <c r="E43" s="16" t="s">
        <v>38</v>
      </c>
      <c r="F43" s="16" t="s">
        <v>415</v>
      </c>
    </row>
    <row r="44" spans="5:6" ht="15">
      <c r="E44" s="16" t="s">
        <v>39</v>
      </c>
      <c r="F44" s="16" t="s">
        <v>416</v>
      </c>
    </row>
    <row r="45" spans="5:6" ht="15">
      <c r="E45" s="16" t="s">
        <v>39</v>
      </c>
      <c r="F45" s="16" t="s">
        <v>417</v>
      </c>
    </row>
    <row r="46" spans="5:6" ht="15">
      <c r="E46" s="16" t="s">
        <v>40</v>
      </c>
      <c r="F46" s="16" t="s">
        <v>418</v>
      </c>
    </row>
    <row r="47" ht="15">
      <c r="E47" s="16"/>
    </row>
    <row r="49" spans="1:2" ht="18">
      <c r="A49" s="17" t="s">
        <v>41</v>
      </c>
      <c r="B49" s="17"/>
    </row>
    <row r="50" spans="1:2" ht="15">
      <c r="A50" s="18" t="s">
        <v>42</v>
      </c>
      <c r="B50" s="18"/>
    </row>
    <row r="51" spans="1:5" ht="15">
      <c r="A51" s="22" t="s">
        <v>44</v>
      </c>
      <c r="B51" s="22" t="s">
        <v>45</v>
      </c>
      <c r="C51" s="22" t="s">
        <v>46</v>
      </c>
      <c r="D51" s="22" t="s">
        <v>47</v>
      </c>
      <c r="E51" s="22" t="s">
        <v>48</v>
      </c>
    </row>
    <row r="52" spans="1:5" ht="12.75">
      <c r="A52" s="19" t="s">
        <v>23</v>
      </c>
      <c r="B52" s="4" t="s">
        <v>43</v>
      </c>
      <c r="C52" s="4" t="s">
        <v>49</v>
      </c>
      <c r="D52" s="4" t="s">
        <v>173</v>
      </c>
      <c r="E52" s="23" t="s">
        <v>187</v>
      </c>
    </row>
    <row r="53" spans="1:5" ht="12.75">
      <c r="A53" s="19" t="s">
        <v>452</v>
      </c>
      <c r="B53" s="4" t="s">
        <v>43</v>
      </c>
      <c r="C53" s="4" t="s">
        <v>99</v>
      </c>
      <c r="D53" s="4" t="s">
        <v>59</v>
      </c>
      <c r="E53" s="23" t="s">
        <v>188</v>
      </c>
    </row>
    <row r="54" spans="1:5" ht="12.75">
      <c r="A54" s="19" t="s">
        <v>492</v>
      </c>
      <c r="B54" s="4" t="s">
        <v>43</v>
      </c>
      <c r="C54" s="4" t="s">
        <v>49</v>
      </c>
      <c r="D54" s="4" t="s">
        <v>29</v>
      </c>
      <c r="E54" s="23" t="s">
        <v>189</v>
      </c>
    </row>
    <row r="55" spans="1:5" ht="12.75">
      <c r="A55" s="19" t="s">
        <v>493</v>
      </c>
      <c r="B55" s="4" t="s">
        <v>184</v>
      </c>
      <c r="C55" s="4" t="s">
        <v>99</v>
      </c>
      <c r="D55" s="4" t="s">
        <v>149</v>
      </c>
      <c r="E55" s="23" t="s">
        <v>481</v>
      </c>
    </row>
    <row r="56" spans="1:5" ht="12.75">
      <c r="A56" s="19" t="s">
        <v>494</v>
      </c>
      <c r="B56" s="4" t="s">
        <v>43</v>
      </c>
      <c r="C56" s="4" t="s">
        <v>99</v>
      </c>
      <c r="D56" s="4" t="s">
        <v>157</v>
      </c>
      <c r="E56" s="23" t="s">
        <v>190</v>
      </c>
    </row>
    <row r="57" spans="1:5" ht="12.75">
      <c r="A57" s="19" t="s">
        <v>495</v>
      </c>
      <c r="B57" s="4" t="s">
        <v>184</v>
      </c>
      <c r="C57" s="4" t="s">
        <v>84</v>
      </c>
      <c r="D57" s="4" t="s">
        <v>162</v>
      </c>
      <c r="E57" s="23" t="s">
        <v>482</v>
      </c>
    </row>
    <row r="58" spans="1:5" ht="12.75">
      <c r="A58" s="19" t="s">
        <v>496</v>
      </c>
      <c r="B58" s="4" t="s">
        <v>43</v>
      </c>
      <c r="C58" s="4" t="s">
        <v>61</v>
      </c>
      <c r="D58" s="4" t="s">
        <v>157</v>
      </c>
      <c r="E58" s="23" t="s">
        <v>191</v>
      </c>
    </row>
    <row r="59" spans="1:5" ht="12.75">
      <c r="A59" s="19" t="s">
        <v>497</v>
      </c>
      <c r="B59" s="4" t="s">
        <v>43</v>
      </c>
      <c r="C59" s="4" t="s">
        <v>84</v>
      </c>
      <c r="D59" s="4" t="s">
        <v>57</v>
      </c>
      <c r="E59" s="23" t="s">
        <v>192</v>
      </c>
    </row>
    <row r="60" spans="1:5" ht="12.75">
      <c r="A60" s="19" t="s">
        <v>498</v>
      </c>
      <c r="B60" s="4" t="s">
        <v>43</v>
      </c>
      <c r="C60" s="4" t="s">
        <v>49</v>
      </c>
      <c r="D60" s="4" t="s">
        <v>181</v>
      </c>
      <c r="E60" s="23" t="s">
        <v>193</v>
      </c>
    </row>
    <row r="61" spans="1:5" ht="12.75">
      <c r="A61" s="19" t="s">
        <v>499</v>
      </c>
      <c r="B61" s="4" t="s">
        <v>43</v>
      </c>
      <c r="C61" s="4" t="s">
        <v>194</v>
      </c>
      <c r="D61" s="4" t="s">
        <v>98</v>
      </c>
      <c r="E61" s="23" t="s">
        <v>195</v>
      </c>
    </row>
  </sheetData>
  <sheetProtection/>
  <mergeCells count="21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36:L36"/>
    <mergeCell ref="A14:L14"/>
    <mergeCell ref="A18:L18"/>
    <mergeCell ref="A21:L21"/>
    <mergeCell ref="A24:L24"/>
    <mergeCell ref="A29:L29"/>
    <mergeCell ref="A33:L3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M10" sqref="M10"/>
    </sheetView>
  </sheetViews>
  <sheetFormatPr defaultColWidth="9.1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31.75390625" style="4" bestFit="1" customWidth="1"/>
    <col min="6" max="6" width="29.00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31.25390625" style="4" bestFit="1" customWidth="1"/>
    <col min="14" max="16384" width="9.125" style="3" customWidth="1"/>
  </cols>
  <sheetData>
    <row r="1" spans="1:13" s="2" customFormat="1" ht="28.5" customHeight="1">
      <c r="A1" s="42" t="s">
        <v>85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6</v>
      </c>
      <c r="C3" s="50" t="s">
        <v>7</v>
      </c>
      <c r="D3" s="36" t="s">
        <v>10</v>
      </c>
      <c r="E3" s="36" t="s">
        <v>4</v>
      </c>
      <c r="F3" s="36" t="s">
        <v>8</v>
      </c>
      <c r="G3" s="36" t="s">
        <v>11</v>
      </c>
      <c r="H3" s="36"/>
      <c r="I3" s="36"/>
      <c r="J3" s="36"/>
      <c r="K3" s="36" t="s">
        <v>50</v>
      </c>
      <c r="L3" s="36" t="s">
        <v>3</v>
      </c>
      <c r="M3" s="38" t="s">
        <v>2</v>
      </c>
    </row>
    <row r="4" spans="1:13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2" ht="15">
      <c r="A5" s="40" t="s">
        <v>86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3" ht="12.75">
      <c r="A6" s="7" t="s">
        <v>87</v>
      </c>
      <c r="B6" s="7" t="s">
        <v>88</v>
      </c>
      <c r="C6" s="7" t="s">
        <v>89</v>
      </c>
      <c r="D6" s="7" t="str">
        <f>"0,8309"</f>
        <v>0,8309</v>
      </c>
      <c r="E6" s="7" t="s">
        <v>26</v>
      </c>
      <c r="F6" s="7" t="s">
        <v>27</v>
      </c>
      <c r="G6" s="9" t="s">
        <v>90</v>
      </c>
      <c r="H6" s="8" t="s">
        <v>91</v>
      </c>
      <c r="I6" s="8" t="s">
        <v>91</v>
      </c>
      <c r="J6" s="8"/>
      <c r="K6" s="7" t="str">
        <f>"70,0"</f>
        <v>70,0</v>
      </c>
      <c r="L6" s="9" t="str">
        <f>"59,2064"</f>
        <v>59,2064</v>
      </c>
      <c r="M6" s="7" t="s">
        <v>21</v>
      </c>
    </row>
    <row r="8" spans="1:12" ht="15">
      <c r="A8" s="52" t="s">
        <v>92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 ht="12.75">
      <c r="A9" s="7" t="s">
        <v>93</v>
      </c>
      <c r="B9" s="7" t="s">
        <v>94</v>
      </c>
      <c r="C9" s="7" t="s">
        <v>95</v>
      </c>
      <c r="D9" s="7" t="str">
        <f>"0,5984"</f>
        <v>0,5984</v>
      </c>
      <c r="E9" s="7" t="s">
        <v>16</v>
      </c>
      <c r="F9" s="7" t="s">
        <v>17</v>
      </c>
      <c r="G9" s="9" t="s">
        <v>96</v>
      </c>
      <c r="H9" s="9" t="s">
        <v>97</v>
      </c>
      <c r="I9" s="9" t="s">
        <v>98</v>
      </c>
      <c r="J9" s="8"/>
      <c r="K9" s="7" t="str">
        <f>"110,0"</f>
        <v>110,0</v>
      </c>
      <c r="L9" s="9" t="str">
        <f>"101,0398"</f>
        <v>101,0398</v>
      </c>
      <c r="M9" s="7" t="s">
        <v>475</v>
      </c>
    </row>
    <row r="11" spans="5:6" ht="15">
      <c r="E11" s="16" t="s">
        <v>36</v>
      </c>
      <c r="F11" s="16" t="s">
        <v>413</v>
      </c>
    </row>
    <row r="12" spans="5:6" ht="15">
      <c r="E12" s="16" t="s">
        <v>37</v>
      </c>
      <c r="F12" s="16" t="s">
        <v>414</v>
      </c>
    </row>
    <row r="13" spans="5:6" ht="15">
      <c r="E13" s="16" t="s">
        <v>38</v>
      </c>
      <c r="F13" s="16" t="s">
        <v>415</v>
      </c>
    </row>
    <row r="14" spans="5:6" ht="15">
      <c r="E14" s="16" t="s">
        <v>39</v>
      </c>
      <c r="F14" s="16" t="s">
        <v>416</v>
      </c>
    </row>
    <row r="15" spans="5:6" ht="15">
      <c r="E15" s="16" t="s">
        <v>39</v>
      </c>
      <c r="F15" s="16" t="s">
        <v>417</v>
      </c>
    </row>
    <row r="16" spans="5:6" ht="15">
      <c r="E16" s="16" t="s">
        <v>40</v>
      </c>
      <c r="F16" s="16" t="s">
        <v>418</v>
      </c>
    </row>
    <row r="17" ht="15">
      <c r="E17" s="16"/>
    </row>
    <row r="19" spans="1:2" ht="18">
      <c r="A19" s="17"/>
      <c r="B19" s="17"/>
    </row>
    <row r="20" spans="1:2" ht="15">
      <c r="A20" s="18"/>
      <c r="B20" s="18"/>
    </row>
    <row r="21" spans="1:2" ht="14.25">
      <c r="A21" s="20"/>
      <c r="B21" s="21"/>
    </row>
    <row r="22" spans="1:5" ht="15">
      <c r="A22" s="1"/>
      <c r="B22" s="1"/>
      <c r="C22" s="1"/>
      <c r="D22" s="1"/>
      <c r="E22" s="1"/>
    </row>
    <row r="23" spans="1:5" ht="12.75">
      <c r="A23" s="19"/>
      <c r="E23" s="23"/>
    </row>
    <row r="24" spans="1:5" ht="12.75">
      <c r="A24" s="19"/>
      <c r="E24" s="23"/>
    </row>
  </sheetData>
  <sheetProtection/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F35" sqref="F35"/>
    </sheetView>
  </sheetViews>
  <sheetFormatPr defaultColWidth="9.1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1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26.25390625" style="4" bestFit="1" customWidth="1"/>
    <col min="14" max="16384" width="9.125" style="3" customWidth="1"/>
  </cols>
  <sheetData>
    <row r="1" spans="1:13" s="2" customFormat="1" ht="28.5" customHeight="1">
      <c r="A1" s="42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6</v>
      </c>
      <c r="C3" s="50" t="s">
        <v>7</v>
      </c>
      <c r="D3" s="36" t="s">
        <v>10</v>
      </c>
      <c r="E3" s="36" t="s">
        <v>4</v>
      </c>
      <c r="F3" s="36" t="s">
        <v>8</v>
      </c>
      <c r="G3" s="36" t="s">
        <v>11</v>
      </c>
      <c r="H3" s="36"/>
      <c r="I3" s="36"/>
      <c r="J3" s="36"/>
      <c r="K3" s="36" t="s">
        <v>50</v>
      </c>
      <c r="L3" s="36" t="s">
        <v>3</v>
      </c>
      <c r="M3" s="38" t="s">
        <v>2</v>
      </c>
    </row>
    <row r="4" spans="1:13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2" ht="15">
      <c r="A5" s="40" t="s">
        <v>12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3" ht="12.75">
      <c r="A6" s="7" t="s">
        <v>63</v>
      </c>
      <c r="B6" s="7" t="s">
        <v>64</v>
      </c>
      <c r="C6" s="7" t="s">
        <v>65</v>
      </c>
      <c r="D6" s="7" t="str">
        <f>"0,6281"</f>
        <v>0,6281</v>
      </c>
      <c r="E6" s="7" t="s">
        <v>66</v>
      </c>
      <c r="F6" s="7" t="s">
        <v>17</v>
      </c>
      <c r="G6" s="9" t="s">
        <v>20</v>
      </c>
      <c r="H6" s="8" t="s">
        <v>57</v>
      </c>
      <c r="I6" s="9" t="s">
        <v>57</v>
      </c>
      <c r="J6" s="8"/>
      <c r="K6" s="7" t="str">
        <f>"140,0"</f>
        <v>140,0</v>
      </c>
      <c r="L6" s="9" t="str">
        <f>"87,9410"</f>
        <v>87,9410</v>
      </c>
      <c r="M6" s="7" t="s">
        <v>67</v>
      </c>
    </row>
    <row r="8" spans="1:12" ht="15">
      <c r="A8" s="52" t="s">
        <v>68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 ht="12.75">
      <c r="A9" s="10" t="s">
        <v>69</v>
      </c>
      <c r="B9" s="10" t="s">
        <v>70</v>
      </c>
      <c r="C9" s="10" t="s">
        <v>71</v>
      </c>
      <c r="D9" s="10" t="str">
        <f>"0,5550"</f>
        <v>0,5550</v>
      </c>
      <c r="E9" s="10" t="s">
        <v>66</v>
      </c>
      <c r="F9" s="10" t="s">
        <v>17</v>
      </c>
      <c r="G9" s="12" t="s">
        <v>72</v>
      </c>
      <c r="H9" s="12" t="s">
        <v>73</v>
      </c>
      <c r="I9" s="11" t="s">
        <v>30</v>
      </c>
      <c r="J9" s="11"/>
      <c r="K9" s="10" t="str">
        <f>"182,5"</f>
        <v>182,5</v>
      </c>
      <c r="L9" s="12" t="str">
        <f>"101,2875"</f>
        <v>101,2875</v>
      </c>
      <c r="M9" s="10" t="s">
        <v>67</v>
      </c>
    </row>
    <row r="10" spans="1:13" ht="12.75">
      <c r="A10" s="13" t="s">
        <v>74</v>
      </c>
      <c r="B10" s="13" t="s">
        <v>75</v>
      </c>
      <c r="C10" s="13" t="s">
        <v>76</v>
      </c>
      <c r="D10" s="13" t="str">
        <f>"0,5606"</f>
        <v>0,5606</v>
      </c>
      <c r="E10" s="13" t="s">
        <v>66</v>
      </c>
      <c r="F10" s="13" t="s">
        <v>17</v>
      </c>
      <c r="G10" s="14" t="s">
        <v>77</v>
      </c>
      <c r="H10" s="15" t="s">
        <v>77</v>
      </c>
      <c r="I10" s="15" t="s">
        <v>78</v>
      </c>
      <c r="J10" s="14"/>
      <c r="K10" s="13" t="str">
        <f>"260,0"</f>
        <v>260,0</v>
      </c>
      <c r="L10" s="15" t="str">
        <f>"145,7690"</f>
        <v>145,7690</v>
      </c>
      <c r="M10" s="13" t="s">
        <v>67</v>
      </c>
    </row>
    <row r="12" spans="1:12" ht="15">
      <c r="A12" s="52" t="s">
        <v>79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3" ht="12.75">
      <c r="A13" s="7" t="s">
        <v>80</v>
      </c>
      <c r="B13" s="7" t="s">
        <v>81</v>
      </c>
      <c r="C13" s="7" t="s">
        <v>82</v>
      </c>
      <c r="D13" s="7" t="str">
        <f>"0,5186"</f>
        <v>0,5186</v>
      </c>
      <c r="E13" s="7" t="s">
        <v>66</v>
      </c>
      <c r="F13" s="7" t="s">
        <v>17</v>
      </c>
      <c r="G13" s="9" t="s">
        <v>77</v>
      </c>
      <c r="H13" s="8" t="s">
        <v>78</v>
      </c>
      <c r="I13" s="9" t="s">
        <v>83</v>
      </c>
      <c r="J13" s="8"/>
      <c r="K13" s="7" t="str">
        <f>"265,0"</f>
        <v>265,0</v>
      </c>
      <c r="L13" s="9" t="str">
        <f>"137,4290"</f>
        <v>137,4290</v>
      </c>
      <c r="M13" s="7" t="s">
        <v>67</v>
      </c>
    </row>
    <row r="15" spans="5:6" ht="15">
      <c r="E15" s="16" t="s">
        <v>36</v>
      </c>
      <c r="F15" s="16" t="s">
        <v>413</v>
      </c>
    </row>
    <row r="16" spans="5:6" ht="15">
      <c r="E16" s="16" t="s">
        <v>37</v>
      </c>
      <c r="F16" s="16" t="s">
        <v>414</v>
      </c>
    </row>
    <row r="17" spans="5:6" ht="15">
      <c r="E17" s="16" t="s">
        <v>38</v>
      </c>
      <c r="F17" s="16" t="s">
        <v>415</v>
      </c>
    </row>
    <row r="18" spans="5:6" ht="15">
      <c r="E18" s="16" t="s">
        <v>39</v>
      </c>
      <c r="F18" s="16" t="s">
        <v>416</v>
      </c>
    </row>
    <row r="19" spans="5:6" ht="15">
      <c r="E19" s="16" t="s">
        <v>39</v>
      </c>
      <c r="F19" s="16" t="s">
        <v>417</v>
      </c>
    </row>
    <row r="20" spans="5:6" ht="15">
      <c r="E20" s="16" t="s">
        <v>40</v>
      </c>
      <c r="F20" s="16" t="s">
        <v>418</v>
      </c>
    </row>
    <row r="21" ht="15">
      <c r="E21" s="16"/>
    </row>
    <row r="23" spans="1:2" ht="18">
      <c r="A23" s="17"/>
      <c r="B23" s="17"/>
    </row>
    <row r="24" spans="1:2" ht="15">
      <c r="A24" s="18"/>
      <c r="B24" s="18"/>
    </row>
    <row r="25" spans="1:2" ht="14.25">
      <c r="A25" s="20"/>
      <c r="B25" s="21"/>
    </row>
    <row r="26" spans="1:5" ht="15">
      <c r="A26" s="1"/>
      <c r="B26" s="1"/>
      <c r="C26" s="1"/>
      <c r="D26" s="1"/>
      <c r="E26" s="1"/>
    </row>
    <row r="27" spans="1:5" ht="12.75">
      <c r="A27" s="19"/>
      <c r="E27" s="23"/>
    </row>
    <row r="28" spans="1:5" ht="12.75">
      <c r="A28" s="19"/>
      <c r="E28" s="23"/>
    </row>
    <row r="29" spans="1:5" ht="12.75">
      <c r="A29" s="19"/>
      <c r="E29" s="23"/>
    </row>
    <row r="31" spans="1:2" ht="14.25">
      <c r="A31" s="20"/>
      <c r="B31" s="21"/>
    </row>
    <row r="32" spans="1:5" ht="15">
      <c r="A32" s="1"/>
      <c r="B32" s="1"/>
      <c r="C32" s="1"/>
      <c r="D32" s="1"/>
      <c r="E32" s="1"/>
    </row>
    <row r="33" spans="1:5" ht="12.75">
      <c r="A33" s="19"/>
      <c r="E33" s="23"/>
    </row>
  </sheetData>
  <sheetProtection/>
  <mergeCells count="14"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E20" sqref="E20"/>
    </sheetView>
  </sheetViews>
  <sheetFormatPr defaultColWidth="9.1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3.625" style="4" bestFit="1" customWidth="1"/>
    <col min="14" max="16384" width="9.125" style="3" customWidth="1"/>
  </cols>
  <sheetData>
    <row r="1" spans="1:13" s="2" customFormat="1" ht="28.5" customHeight="1">
      <c r="A1" s="42" t="s">
        <v>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6</v>
      </c>
      <c r="C3" s="50" t="s">
        <v>7</v>
      </c>
      <c r="D3" s="36" t="s">
        <v>10</v>
      </c>
      <c r="E3" s="36" t="s">
        <v>4</v>
      </c>
      <c r="F3" s="36" t="s">
        <v>8</v>
      </c>
      <c r="G3" s="36" t="s">
        <v>11</v>
      </c>
      <c r="H3" s="36"/>
      <c r="I3" s="36"/>
      <c r="J3" s="36"/>
      <c r="K3" s="36" t="s">
        <v>50</v>
      </c>
      <c r="L3" s="36" t="s">
        <v>3</v>
      </c>
      <c r="M3" s="38" t="s">
        <v>2</v>
      </c>
    </row>
    <row r="4" spans="1:13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2" ht="15">
      <c r="A5" s="40" t="s">
        <v>52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3" ht="12.75">
      <c r="A6" s="7" t="s">
        <v>53</v>
      </c>
      <c r="B6" s="7" t="s">
        <v>54</v>
      </c>
      <c r="C6" s="7" t="s">
        <v>55</v>
      </c>
      <c r="D6" s="7" t="str">
        <f>"0,5372"</f>
        <v>0,5372</v>
      </c>
      <c r="E6" s="7" t="s">
        <v>16</v>
      </c>
      <c r="F6" s="7" t="s">
        <v>56</v>
      </c>
      <c r="G6" s="9" t="s">
        <v>57</v>
      </c>
      <c r="H6" s="9" t="s">
        <v>58</v>
      </c>
      <c r="I6" s="9" t="s">
        <v>59</v>
      </c>
      <c r="J6" s="8"/>
      <c r="K6" s="7" t="str">
        <f>"160,0"</f>
        <v>160,0</v>
      </c>
      <c r="L6" s="9" t="str">
        <f>"85,9440"</f>
        <v>85,9440</v>
      </c>
      <c r="M6" s="7" t="s">
        <v>60</v>
      </c>
    </row>
    <row r="8" spans="5:6" ht="15">
      <c r="E8" s="16" t="s">
        <v>36</v>
      </c>
      <c r="F8" s="16" t="s">
        <v>413</v>
      </c>
    </row>
    <row r="9" spans="5:6" ht="15">
      <c r="E9" s="16" t="s">
        <v>37</v>
      </c>
      <c r="F9" s="16" t="s">
        <v>414</v>
      </c>
    </row>
    <row r="10" spans="5:6" ht="15">
      <c r="E10" s="16" t="s">
        <v>38</v>
      </c>
      <c r="F10" s="16" t="s">
        <v>415</v>
      </c>
    </row>
    <row r="11" spans="5:6" ht="15">
      <c r="E11" s="16" t="s">
        <v>39</v>
      </c>
      <c r="F11" s="16" t="s">
        <v>416</v>
      </c>
    </row>
    <row r="12" spans="5:6" ht="15">
      <c r="E12" s="16" t="s">
        <v>39</v>
      </c>
      <c r="F12" s="16" t="s">
        <v>417</v>
      </c>
    </row>
    <row r="13" spans="5:6" ht="15">
      <c r="E13" s="16" t="s">
        <v>40</v>
      </c>
      <c r="F13" s="16" t="s">
        <v>418</v>
      </c>
    </row>
    <row r="14" ht="15">
      <c r="E14" s="16"/>
    </row>
    <row r="16" spans="1:2" ht="18">
      <c r="A16" s="17"/>
      <c r="B16" s="17"/>
    </row>
    <row r="17" spans="1:2" ht="15">
      <c r="A17" s="18"/>
      <c r="B17" s="18"/>
    </row>
    <row r="18" spans="1:2" ht="14.25">
      <c r="A18" s="20"/>
      <c r="B18" s="21"/>
    </row>
    <row r="19" spans="1:5" ht="15">
      <c r="A19" s="1"/>
      <c r="B19" s="1"/>
      <c r="C19" s="1"/>
      <c r="D19" s="1"/>
      <c r="E19" s="1"/>
    </row>
    <row r="20" spans="1:5" ht="12.75">
      <c r="A20" s="19"/>
      <c r="E20" s="23"/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K6" sqref="K6"/>
    </sheetView>
  </sheetViews>
  <sheetFormatPr defaultColWidth="9.1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24.75390625" style="4" bestFit="1" customWidth="1"/>
    <col min="7" max="7" width="4.625" style="3" bestFit="1" customWidth="1"/>
    <col min="8" max="8" width="4.625" style="29" bestFit="1" customWidth="1"/>
    <col min="9" max="9" width="7.875" style="4" bestFit="1" customWidth="1"/>
    <col min="10" max="10" width="7.625" style="3" bestFit="1" customWidth="1"/>
    <col min="11" max="11" width="29.00390625" style="4" bestFit="1" customWidth="1"/>
    <col min="12" max="16384" width="9.125" style="3" customWidth="1"/>
  </cols>
  <sheetData>
    <row r="1" spans="1:11" s="2" customFormat="1" ht="28.5" customHeight="1">
      <c r="A1" s="42" t="s">
        <v>403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>
      <c r="A3" s="48" t="s">
        <v>0</v>
      </c>
      <c r="B3" s="50" t="s">
        <v>6</v>
      </c>
      <c r="C3" s="50" t="s">
        <v>7</v>
      </c>
      <c r="D3" s="36" t="s">
        <v>388</v>
      </c>
      <c r="E3" s="36" t="s">
        <v>4</v>
      </c>
      <c r="F3" s="36" t="s">
        <v>8</v>
      </c>
      <c r="G3" s="36" t="s">
        <v>335</v>
      </c>
      <c r="H3" s="36"/>
      <c r="I3" s="36" t="s">
        <v>338</v>
      </c>
      <c r="J3" s="36" t="s">
        <v>3</v>
      </c>
      <c r="K3" s="38" t="s">
        <v>2</v>
      </c>
    </row>
    <row r="4" spans="1:11" s="1" customFormat="1" ht="21" customHeight="1" thickBot="1">
      <c r="A4" s="49"/>
      <c r="B4" s="37"/>
      <c r="C4" s="37"/>
      <c r="D4" s="37"/>
      <c r="E4" s="37"/>
      <c r="F4" s="37"/>
      <c r="G4" s="5" t="s">
        <v>336</v>
      </c>
      <c r="H4" s="27" t="s">
        <v>337</v>
      </c>
      <c r="I4" s="37"/>
      <c r="J4" s="37"/>
      <c r="K4" s="39"/>
    </row>
    <row r="5" spans="1:10" ht="15">
      <c r="A5" s="40" t="s">
        <v>389</v>
      </c>
      <c r="B5" s="51"/>
      <c r="C5" s="51"/>
      <c r="D5" s="51"/>
      <c r="E5" s="51"/>
      <c r="F5" s="51"/>
      <c r="G5" s="51"/>
      <c r="H5" s="51"/>
      <c r="I5" s="51"/>
      <c r="J5" s="51"/>
    </row>
    <row r="6" spans="1:11" ht="12.75">
      <c r="A6" s="7" t="s">
        <v>404</v>
      </c>
      <c r="B6" s="7" t="s">
        <v>405</v>
      </c>
      <c r="C6" s="7" t="s">
        <v>406</v>
      </c>
      <c r="D6" s="7" t="str">
        <f>"1,0000"</f>
        <v>1,0000</v>
      </c>
      <c r="E6" s="7" t="s">
        <v>128</v>
      </c>
      <c r="F6" s="7" t="s">
        <v>129</v>
      </c>
      <c r="G6" s="9" t="s">
        <v>91</v>
      </c>
      <c r="H6" s="28" t="s">
        <v>407</v>
      </c>
      <c r="I6" s="7" t="str">
        <f>"2475,0"</f>
        <v>2475,0</v>
      </c>
      <c r="J6" s="9" t="str">
        <f>"29,6407"</f>
        <v>29,6407</v>
      </c>
      <c r="K6" s="7" t="s">
        <v>131</v>
      </c>
    </row>
    <row r="8" spans="5:6" ht="15">
      <c r="E8" s="16" t="s">
        <v>36</v>
      </c>
      <c r="F8" s="16" t="s">
        <v>413</v>
      </c>
    </row>
    <row r="9" spans="5:6" ht="15">
      <c r="E9" s="16" t="s">
        <v>37</v>
      </c>
      <c r="F9" s="16" t="s">
        <v>414</v>
      </c>
    </row>
    <row r="10" spans="5:6" ht="15">
      <c r="E10" s="16" t="s">
        <v>38</v>
      </c>
      <c r="F10" s="16" t="s">
        <v>415</v>
      </c>
    </row>
    <row r="11" spans="5:6" ht="15">
      <c r="E11" s="16" t="s">
        <v>39</v>
      </c>
      <c r="F11" s="16" t="s">
        <v>416</v>
      </c>
    </row>
    <row r="12" spans="5:6" ht="15">
      <c r="E12" s="16" t="s">
        <v>39</v>
      </c>
      <c r="F12" s="16" t="s">
        <v>417</v>
      </c>
    </row>
    <row r="13" spans="5:6" ht="15">
      <c r="E13" s="16" t="s">
        <v>40</v>
      </c>
      <c r="F13" s="16" t="s">
        <v>418</v>
      </c>
    </row>
    <row r="14" ht="15">
      <c r="E14" s="16"/>
    </row>
    <row r="16" spans="1:2" ht="18">
      <c r="A16" s="17"/>
      <c r="B16" s="17"/>
    </row>
    <row r="17" spans="1:2" ht="15">
      <c r="A17" s="18"/>
      <c r="B17" s="18"/>
    </row>
    <row r="18" spans="1:2" ht="14.25">
      <c r="A18" s="20"/>
      <c r="B18" s="21"/>
    </row>
    <row r="19" spans="1:5" ht="15">
      <c r="A19" s="1"/>
      <c r="B19" s="1"/>
      <c r="C19" s="1"/>
      <c r="D19" s="1"/>
      <c r="E19" s="1"/>
    </row>
    <row r="20" spans="1:5" ht="12.75">
      <c r="A20" s="19"/>
      <c r="E20" s="23"/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">
      <selection activeCell="F9" sqref="F9"/>
    </sheetView>
  </sheetViews>
  <sheetFormatPr defaultColWidth="9.1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31.75390625" style="4" bestFit="1" customWidth="1"/>
    <col min="6" max="6" width="29.00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5.75390625" style="4" bestFit="1" customWidth="1"/>
    <col min="14" max="16384" width="9.125" style="3" customWidth="1"/>
  </cols>
  <sheetData>
    <row r="1" spans="1:13" s="2" customFormat="1" ht="28.5" customHeight="1">
      <c r="A1" s="42" t="s">
        <v>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6</v>
      </c>
      <c r="C3" s="50" t="s">
        <v>7</v>
      </c>
      <c r="D3" s="36" t="s">
        <v>10</v>
      </c>
      <c r="E3" s="36" t="s">
        <v>4</v>
      </c>
      <c r="F3" s="36" t="s">
        <v>8</v>
      </c>
      <c r="G3" s="36" t="s">
        <v>11</v>
      </c>
      <c r="H3" s="36"/>
      <c r="I3" s="36"/>
      <c r="J3" s="36"/>
      <c r="K3" s="36" t="s">
        <v>50</v>
      </c>
      <c r="L3" s="36" t="s">
        <v>3</v>
      </c>
      <c r="M3" s="38" t="s">
        <v>2</v>
      </c>
    </row>
    <row r="4" spans="1:13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2" ht="15">
      <c r="A5" s="40" t="s">
        <v>12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3" ht="12.75">
      <c r="A6" s="7" t="s">
        <v>13</v>
      </c>
      <c r="B6" s="7" t="s">
        <v>14</v>
      </c>
      <c r="C6" s="7" t="s">
        <v>15</v>
      </c>
      <c r="D6" s="7" t="str">
        <f>"0,6235"</f>
        <v>0,6235</v>
      </c>
      <c r="E6" s="7" t="s">
        <v>16</v>
      </c>
      <c r="F6" s="7" t="s">
        <v>17</v>
      </c>
      <c r="G6" s="9" t="s">
        <v>18</v>
      </c>
      <c r="H6" s="9" t="s">
        <v>19</v>
      </c>
      <c r="I6" s="9" t="s">
        <v>20</v>
      </c>
      <c r="J6" s="8"/>
      <c r="K6" s="7" t="str">
        <f>"135,0"</f>
        <v>135,0</v>
      </c>
      <c r="L6" s="9" t="str">
        <f>"84,1725"</f>
        <v>84,1725</v>
      </c>
      <c r="M6" s="7" t="s">
        <v>21</v>
      </c>
    </row>
    <row r="8" spans="1:12" ht="15">
      <c r="A8" s="52" t="s">
        <v>22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 ht="12.75">
      <c r="A9" s="10" t="s">
        <v>23</v>
      </c>
      <c r="B9" s="10" t="s">
        <v>24</v>
      </c>
      <c r="C9" s="10" t="s">
        <v>25</v>
      </c>
      <c r="D9" s="10" t="str">
        <f>"0,5304"</f>
        <v>0,5304</v>
      </c>
      <c r="E9" s="10" t="s">
        <v>26</v>
      </c>
      <c r="F9" s="10" t="s">
        <v>27</v>
      </c>
      <c r="G9" s="12" t="s">
        <v>28</v>
      </c>
      <c r="H9" s="12" t="s">
        <v>29</v>
      </c>
      <c r="I9" s="12" t="s">
        <v>30</v>
      </c>
      <c r="J9" s="11"/>
      <c r="K9" s="10" t="str">
        <f>"187,5"</f>
        <v>187,5</v>
      </c>
      <c r="L9" s="12" t="str">
        <f>"99,4406"</f>
        <v>99,4406</v>
      </c>
      <c r="M9" s="10" t="s">
        <v>21</v>
      </c>
    </row>
    <row r="10" spans="1:13" ht="12.75">
      <c r="A10" s="13" t="s">
        <v>31</v>
      </c>
      <c r="B10" s="13" t="s">
        <v>32</v>
      </c>
      <c r="C10" s="13" t="s">
        <v>33</v>
      </c>
      <c r="D10" s="13" t="str">
        <f>"0,5334"</f>
        <v>0,5334</v>
      </c>
      <c r="E10" s="13" t="s">
        <v>16</v>
      </c>
      <c r="F10" s="13" t="s">
        <v>17</v>
      </c>
      <c r="G10" s="15" t="s">
        <v>34</v>
      </c>
      <c r="H10" s="15" t="s">
        <v>35</v>
      </c>
      <c r="I10" s="15" t="s">
        <v>28</v>
      </c>
      <c r="J10" s="14"/>
      <c r="K10" s="13" t="str">
        <f>"170,0"</f>
        <v>170,0</v>
      </c>
      <c r="L10" s="15" t="str">
        <f>"90,9500"</f>
        <v>90,9500</v>
      </c>
      <c r="M10" s="13" t="s">
        <v>21</v>
      </c>
    </row>
    <row r="12" spans="5:6" ht="15">
      <c r="E12" s="16" t="s">
        <v>36</v>
      </c>
      <c r="F12" s="16" t="s">
        <v>413</v>
      </c>
    </row>
    <row r="13" spans="5:6" ht="15">
      <c r="E13" s="16" t="s">
        <v>37</v>
      </c>
      <c r="F13" s="16" t="s">
        <v>414</v>
      </c>
    </row>
    <row r="14" spans="5:6" ht="15">
      <c r="E14" s="16" t="s">
        <v>38</v>
      </c>
      <c r="F14" s="16" t="s">
        <v>415</v>
      </c>
    </row>
    <row r="15" spans="5:6" ht="15">
      <c r="E15" s="16" t="s">
        <v>39</v>
      </c>
      <c r="F15" s="16" t="s">
        <v>416</v>
      </c>
    </row>
    <row r="16" spans="5:6" ht="15">
      <c r="E16" s="16" t="s">
        <v>39</v>
      </c>
      <c r="F16" s="16" t="s">
        <v>417</v>
      </c>
    </row>
    <row r="17" spans="5:6" ht="15">
      <c r="E17" s="16" t="s">
        <v>40</v>
      </c>
      <c r="F17" s="16" t="s">
        <v>418</v>
      </c>
    </row>
    <row r="18" ht="15">
      <c r="E18" s="16"/>
    </row>
    <row r="20" spans="1:2" ht="18">
      <c r="A20" s="17"/>
      <c r="B20" s="17"/>
    </row>
    <row r="21" spans="1:2" ht="15">
      <c r="A21" s="18"/>
      <c r="B21" s="18"/>
    </row>
    <row r="22" spans="1:2" ht="14.25">
      <c r="A22" s="20"/>
      <c r="B22" s="21"/>
    </row>
    <row r="23" spans="1:5" ht="15">
      <c r="A23" s="1"/>
      <c r="B23" s="1"/>
      <c r="C23" s="1"/>
      <c r="D23" s="1"/>
      <c r="E23" s="1"/>
    </row>
    <row r="24" spans="1:5" ht="12.75">
      <c r="A24" s="19"/>
      <c r="E24" s="23"/>
    </row>
    <row r="25" spans="1:5" ht="12.75">
      <c r="A25" s="19"/>
      <c r="E25" s="23"/>
    </row>
    <row r="27" spans="1:2" ht="14.25">
      <c r="A27" s="20"/>
      <c r="B27" s="21"/>
    </row>
    <row r="28" spans="1:5" ht="15">
      <c r="A28" s="1"/>
      <c r="B28" s="1"/>
      <c r="C28" s="1"/>
      <c r="D28" s="1"/>
      <c r="E28" s="1"/>
    </row>
    <row r="29" spans="1:5" ht="12.75">
      <c r="A29" s="19"/>
      <c r="E29" s="23"/>
    </row>
  </sheetData>
  <sheetProtection/>
  <mergeCells count="13">
    <mergeCell ref="A1:M2"/>
    <mergeCell ref="G3:J3"/>
    <mergeCell ref="A3:A4"/>
    <mergeCell ref="B3:B4"/>
    <mergeCell ref="C3:C4"/>
    <mergeCell ref="M3:M4"/>
    <mergeCell ref="F3:F4"/>
    <mergeCell ref="E3:E4"/>
    <mergeCell ref="A5:L5"/>
    <mergeCell ref="A8:L8"/>
    <mergeCell ref="D3:D4"/>
    <mergeCell ref="K3:K4"/>
    <mergeCell ref="L3:L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O8" sqref="O8"/>
    </sheetView>
  </sheetViews>
  <sheetFormatPr defaultColWidth="9.1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31.75390625" style="4" bestFit="1" customWidth="1"/>
    <col min="6" max="6" width="29.003906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5" width="7.875" style="4" bestFit="1" customWidth="1"/>
    <col min="16" max="16" width="8.625" style="3" bestFit="1" customWidth="1"/>
    <col min="17" max="17" width="31.00390625" style="4" bestFit="1" customWidth="1"/>
    <col min="18" max="16384" width="9.125" style="3" customWidth="1"/>
  </cols>
  <sheetData>
    <row r="1" spans="1:17" s="2" customFormat="1" ht="28.5" customHeight="1">
      <c r="A1" s="42" t="s">
        <v>419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s="2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</row>
    <row r="3" spans="1:17" s="1" customFormat="1" ht="12.75" customHeight="1">
      <c r="A3" s="48" t="s">
        <v>0</v>
      </c>
      <c r="B3" s="50" t="s">
        <v>6</v>
      </c>
      <c r="C3" s="50" t="s">
        <v>7</v>
      </c>
      <c r="D3" s="36" t="s">
        <v>10</v>
      </c>
      <c r="E3" s="36" t="s">
        <v>4</v>
      </c>
      <c r="F3" s="36" t="s">
        <v>8</v>
      </c>
      <c r="G3" s="36" t="s">
        <v>420</v>
      </c>
      <c r="H3" s="36"/>
      <c r="I3" s="36"/>
      <c r="J3" s="36"/>
      <c r="K3" s="36" t="s">
        <v>421</v>
      </c>
      <c r="L3" s="36"/>
      <c r="M3" s="36"/>
      <c r="N3" s="36"/>
      <c r="O3" s="36" t="s">
        <v>1</v>
      </c>
      <c r="P3" s="36" t="s">
        <v>3</v>
      </c>
      <c r="Q3" s="38" t="s">
        <v>2</v>
      </c>
    </row>
    <row r="4" spans="1:17" s="1" customFormat="1" ht="21" customHeight="1" thickBot="1">
      <c r="A4" s="49"/>
      <c r="B4" s="37"/>
      <c r="C4" s="37"/>
      <c r="D4" s="37"/>
      <c r="E4" s="37"/>
      <c r="F4" s="37"/>
      <c r="G4" s="6">
        <v>1</v>
      </c>
      <c r="H4" s="6">
        <v>2</v>
      </c>
      <c r="I4" s="6">
        <v>3</v>
      </c>
      <c r="J4" s="6" t="s">
        <v>5</v>
      </c>
      <c r="K4" s="6">
        <v>1</v>
      </c>
      <c r="L4" s="6">
        <v>2</v>
      </c>
      <c r="M4" s="6">
        <v>3</v>
      </c>
      <c r="N4" s="6" t="s">
        <v>5</v>
      </c>
      <c r="O4" s="37"/>
      <c r="P4" s="37"/>
      <c r="Q4" s="39"/>
    </row>
    <row r="5" spans="1:16" ht="15">
      <c r="A5" s="40" t="s">
        <v>86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7" ht="12.75">
      <c r="A6" s="7" t="s">
        <v>422</v>
      </c>
      <c r="B6" s="7" t="s">
        <v>224</v>
      </c>
      <c r="C6" s="7" t="s">
        <v>225</v>
      </c>
      <c r="D6" s="7" t="str">
        <f>"0,8794"</f>
        <v>0,8794</v>
      </c>
      <c r="E6" s="7" t="s">
        <v>128</v>
      </c>
      <c r="F6" s="7" t="s">
        <v>129</v>
      </c>
      <c r="G6" s="9" t="s">
        <v>84</v>
      </c>
      <c r="H6" s="8" t="s">
        <v>49</v>
      </c>
      <c r="I6" s="8" t="s">
        <v>49</v>
      </c>
      <c r="J6" s="9"/>
      <c r="K6" s="9" t="s">
        <v>213</v>
      </c>
      <c r="L6" s="9" t="s">
        <v>226</v>
      </c>
      <c r="M6" s="9" t="s">
        <v>222</v>
      </c>
      <c r="N6" s="8"/>
      <c r="O6" s="7" t="s">
        <v>423</v>
      </c>
      <c r="P6" s="9" t="s">
        <v>424</v>
      </c>
      <c r="Q6" s="7" t="s">
        <v>131</v>
      </c>
    </row>
    <row r="9" spans="5:6" ht="15">
      <c r="E9" s="16" t="s">
        <v>36</v>
      </c>
      <c r="F9" s="16" t="s">
        <v>413</v>
      </c>
    </row>
    <row r="10" spans="5:6" ht="15">
      <c r="E10" s="16" t="s">
        <v>37</v>
      </c>
      <c r="F10" s="16" t="s">
        <v>414</v>
      </c>
    </row>
    <row r="11" spans="5:6" ht="15">
      <c r="E11" s="16" t="s">
        <v>38</v>
      </c>
      <c r="F11" s="16" t="s">
        <v>415</v>
      </c>
    </row>
    <row r="12" spans="5:6" ht="15">
      <c r="E12" s="16" t="s">
        <v>39</v>
      </c>
      <c r="F12" s="16" t="s">
        <v>416</v>
      </c>
    </row>
    <row r="13" spans="5:6" ht="15">
      <c r="E13" s="16" t="s">
        <v>39</v>
      </c>
      <c r="F13" s="16" t="s">
        <v>417</v>
      </c>
    </row>
    <row r="14" spans="5:6" ht="15">
      <c r="E14" s="16" t="s">
        <v>40</v>
      </c>
      <c r="F14" s="16" t="s">
        <v>418</v>
      </c>
    </row>
    <row r="15" ht="15">
      <c r="E15" s="16"/>
    </row>
    <row r="17" spans="1:2" ht="18">
      <c r="A17" s="17"/>
      <c r="B17" s="17"/>
    </row>
    <row r="18" spans="1:2" ht="15">
      <c r="A18" s="18"/>
      <c r="B18" s="18"/>
    </row>
    <row r="19" spans="1:2" ht="14.25">
      <c r="A19" s="20"/>
      <c r="B19" s="21"/>
    </row>
    <row r="20" spans="1:5" ht="15">
      <c r="A20" s="1"/>
      <c r="B20" s="1"/>
      <c r="C20" s="1"/>
      <c r="D20" s="1"/>
      <c r="E20" s="1"/>
    </row>
    <row r="21" spans="1:5" ht="12.75">
      <c r="A21" s="19"/>
      <c r="E21" s="23"/>
    </row>
    <row r="22" spans="1:5" ht="12.75">
      <c r="A22" s="19"/>
      <c r="E22" s="23"/>
    </row>
    <row r="25" spans="1:2" ht="15">
      <c r="A25" s="18"/>
      <c r="B25" s="18"/>
    </row>
    <row r="26" spans="1:2" ht="14.25">
      <c r="A26" s="20"/>
      <c r="B26" s="21"/>
    </row>
    <row r="27" spans="1:5" ht="15">
      <c r="A27" s="1"/>
      <c r="B27" s="1"/>
      <c r="C27" s="1"/>
      <c r="D27" s="1"/>
      <c r="E27" s="1"/>
    </row>
    <row r="28" spans="1:5" ht="12.75">
      <c r="A28" s="19"/>
      <c r="E28" s="23"/>
    </row>
    <row r="30" spans="1:2" ht="14.25">
      <c r="A30" s="20"/>
      <c r="B30" s="21"/>
    </row>
    <row r="31" spans="1:5" ht="15">
      <c r="A31" s="1"/>
      <c r="B31" s="1"/>
      <c r="C31" s="1"/>
      <c r="D31" s="1"/>
      <c r="E31" s="1"/>
    </row>
    <row r="32" spans="1:5" ht="12.75">
      <c r="A32" s="19"/>
      <c r="E32" s="23"/>
    </row>
    <row r="33" spans="1:5" ht="12.75">
      <c r="A33" s="19"/>
      <c r="E33" s="23"/>
    </row>
    <row r="34" spans="1:5" ht="12.75">
      <c r="A34" s="19"/>
      <c r="E34" s="23"/>
    </row>
    <row r="35" spans="1:5" ht="12.75">
      <c r="A35" s="19"/>
      <c r="E35" s="23"/>
    </row>
    <row r="36" spans="1:5" ht="12.75">
      <c r="A36" s="19"/>
      <c r="E36" s="23"/>
    </row>
  </sheetData>
  <sheetProtection/>
  <mergeCells count="13">
    <mergeCell ref="P3:P4"/>
    <mergeCell ref="Q3:Q4"/>
    <mergeCell ref="A5:P5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K17" sqref="K17"/>
    </sheetView>
  </sheetViews>
  <sheetFormatPr defaultColWidth="9.1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31.75390625" style="4" bestFit="1" customWidth="1"/>
    <col min="6" max="6" width="29.00390625" style="4" bestFit="1" customWidth="1"/>
    <col min="7" max="7" width="5.625" style="3" bestFit="1" customWidth="1"/>
    <col min="8" max="8" width="4.625" style="29" bestFit="1" customWidth="1"/>
    <col min="9" max="9" width="7.875" style="4" bestFit="1" customWidth="1"/>
    <col min="10" max="10" width="7.625" style="3" bestFit="1" customWidth="1"/>
    <col min="11" max="11" width="29.00390625" style="4" bestFit="1" customWidth="1"/>
    <col min="12" max="16384" width="9.125" style="3" customWidth="1"/>
  </cols>
  <sheetData>
    <row r="1" spans="1:11" s="2" customFormat="1" ht="28.5" customHeight="1">
      <c r="A1" s="42" t="s">
        <v>463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s="2" customFormat="1" ht="61.5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1" s="1" customFormat="1" ht="12.75" customHeight="1">
      <c r="A3" s="59" t="s">
        <v>0</v>
      </c>
      <c r="B3" s="61" t="s">
        <v>6</v>
      </c>
      <c r="C3" s="61" t="s">
        <v>7</v>
      </c>
      <c r="D3" s="63" t="s">
        <v>388</v>
      </c>
      <c r="E3" s="63" t="s">
        <v>4</v>
      </c>
      <c r="F3" s="63" t="s">
        <v>8</v>
      </c>
      <c r="G3" s="65" t="s">
        <v>335</v>
      </c>
      <c r="H3" s="66"/>
      <c r="I3" s="63" t="s">
        <v>338</v>
      </c>
      <c r="J3" s="63" t="s">
        <v>3</v>
      </c>
      <c r="K3" s="68" t="s">
        <v>2</v>
      </c>
    </row>
    <row r="4" spans="1:11" s="1" customFormat="1" ht="21" customHeight="1" thickBot="1">
      <c r="A4" s="60"/>
      <c r="B4" s="62"/>
      <c r="C4" s="62"/>
      <c r="D4" s="64"/>
      <c r="E4" s="64"/>
      <c r="F4" s="64"/>
      <c r="G4" s="6" t="s">
        <v>336</v>
      </c>
      <c r="H4" s="27" t="s">
        <v>337</v>
      </c>
      <c r="I4" s="64"/>
      <c r="J4" s="64"/>
      <c r="K4" s="69"/>
    </row>
    <row r="5" spans="1:11" ht="15">
      <c r="A5" s="51" t="s">
        <v>102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2.75">
      <c r="A6" s="10" t="s">
        <v>425</v>
      </c>
      <c r="B6" s="10" t="s">
        <v>426</v>
      </c>
      <c r="C6" s="10" t="s">
        <v>428</v>
      </c>
      <c r="D6" s="10" t="str">
        <f>"1,0000"</f>
        <v>1,0000</v>
      </c>
      <c r="E6" s="10" t="s">
        <v>429</v>
      </c>
      <c r="F6" s="10" t="s">
        <v>433</v>
      </c>
      <c r="G6" s="12" t="s">
        <v>96</v>
      </c>
      <c r="H6" s="30">
        <v>23</v>
      </c>
      <c r="I6" s="10" t="s">
        <v>430</v>
      </c>
      <c r="J6" s="12"/>
      <c r="K6" s="10" t="s">
        <v>21</v>
      </c>
    </row>
    <row r="7" spans="1:11" ht="12.75">
      <c r="A7" s="13" t="s">
        <v>425</v>
      </c>
      <c r="B7" s="13" t="s">
        <v>427</v>
      </c>
      <c r="C7" s="13" t="s">
        <v>428</v>
      </c>
      <c r="D7" s="13" t="str">
        <f>"1,0000"</f>
        <v>1,0000</v>
      </c>
      <c r="E7" s="13" t="s">
        <v>429</v>
      </c>
      <c r="F7" s="13" t="s">
        <v>433</v>
      </c>
      <c r="G7" s="15" t="s">
        <v>96</v>
      </c>
      <c r="H7" s="31">
        <v>23</v>
      </c>
      <c r="I7" s="13" t="s">
        <v>430</v>
      </c>
      <c r="J7" s="15"/>
      <c r="K7" s="13" t="s">
        <v>21</v>
      </c>
    </row>
    <row r="9" spans="1:11" ht="15">
      <c r="A9" s="67" t="s">
        <v>432</v>
      </c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pans="1:11" ht="12.75">
      <c r="A10" s="7" t="s">
        <v>431</v>
      </c>
      <c r="B10" s="7" t="s">
        <v>434</v>
      </c>
      <c r="C10" s="7" t="s">
        <v>435</v>
      </c>
      <c r="D10" s="7" t="str">
        <f>"1,0000"</f>
        <v>1,0000</v>
      </c>
      <c r="E10" s="7" t="s">
        <v>436</v>
      </c>
      <c r="F10" s="7" t="s">
        <v>437</v>
      </c>
      <c r="G10" s="9" t="s">
        <v>96</v>
      </c>
      <c r="H10" s="28">
        <v>38</v>
      </c>
      <c r="I10" s="7" t="s">
        <v>438</v>
      </c>
      <c r="J10" s="9"/>
      <c r="K10" s="7" t="s">
        <v>131</v>
      </c>
    </row>
    <row r="12" spans="1:11" ht="15">
      <c r="A12" s="67" t="s">
        <v>141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2.75">
      <c r="A13" s="7" t="s">
        <v>439</v>
      </c>
      <c r="B13" s="7" t="s">
        <v>440</v>
      </c>
      <c r="C13" s="7" t="s">
        <v>441</v>
      </c>
      <c r="D13" s="7" t="str">
        <f>"1,0000"</f>
        <v>1,0000</v>
      </c>
      <c r="E13" s="7" t="s">
        <v>429</v>
      </c>
      <c r="F13" s="7" t="s">
        <v>442</v>
      </c>
      <c r="G13" s="9" t="s">
        <v>96</v>
      </c>
      <c r="H13" s="28">
        <v>28</v>
      </c>
      <c r="I13" s="7" t="s">
        <v>443</v>
      </c>
      <c r="J13" s="9"/>
      <c r="K13" s="7" t="s">
        <v>444</v>
      </c>
    </row>
    <row r="15" spans="1:11" ht="15">
      <c r="A15" s="67" t="s">
        <v>450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1:11" ht="12.75">
      <c r="A16" s="7" t="s">
        <v>445</v>
      </c>
      <c r="B16" s="7" t="s">
        <v>446</v>
      </c>
      <c r="C16" s="7" t="s">
        <v>447</v>
      </c>
      <c r="D16" s="7" t="str">
        <f>"1,0000"</f>
        <v>1,0000</v>
      </c>
      <c r="E16" s="7" t="s">
        <v>448</v>
      </c>
      <c r="F16" s="7" t="s">
        <v>449</v>
      </c>
      <c r="G16" s="9" t="s">
        <v>96</v>
      </c>
      <c r="H16" s="28">
        <v>23</v>
      </c>
      <c r="I16" s="7" t="s">
        <v>430</v>
      </c>
      <c r="J16" s="9"/>
      <c r="K16" s="7" t="s">
        <v>478</v>
      </c>
    </row>
    <row r="18" spans="1:11" ht="15">
      <c r="A18" s="67" t="s">
        <v>92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1:11" ht="12.75">
      <c r="A19" s="10" t="s">
        <v>151</v>
      </c>
      <c r="B19" s="10" t="s">
        <v>152</v>
      </c>
      <c r="C19" s="10" t="s">
        <v>456</v>
      </c>
      <c r="D19" s="10" t="str">
        <f>"1,0000"</f>
        <v>1,0000</v>
      </c>
      <c r="E19" s="10" t="s">
        <v>429</v>
      </c>
      <c r="F19" s="10" t="s">
        <v>437</v>
      </c>
      <c r="G19" s="12" t="s">
        <v>96</v>
      </c>
      <c r="H19" s="30">
        <v>46</v>
      </c>
      <c r="I19" s="10" t="s">
        <v>451</v>
      </c>
      <c r="J19" s="12"/>
      <c r="K19" s="10" t="s">
        <v>444</v>
      </c>
    </row>
    <row r="20" spans="1:11" ht="12.75">
      <c r="A20" s="24" t="s">
        <v>457</v>
      </c>
      <c r="B20" s="24" t="s">
        <v>455</v>
      </c>
      <c r="C20" s="24" t="s">
        <v>453</v>
      </c>
      <c r="D20" s="24" t="str">
        <f>"1,0000"</f>
        <v>1,0000</v>
      </c>
      <c r="E20" s="24" t="s">
        <v>436</v>
      </c>
      <c r="F20" s="24" t="s">
        <v>437</v>
      </c>
      <c r="G20" s="26" t="s">
        <v>96</v>
      </c>
      <c r="H20" s="32">
        <v>42</v>
      </c>
      <c r="I20" s="24" t="s">
        <v>454</v>
      </c>
      <c r="J20" s="26"/>
      <c r="K20" s="24" t="s">
        <v>444</v>
      </c>
    </row>
    <row r="21" spans="1:11" ht="12.75">
      <c r="A21" s="13" t="s">
        <v>458</v>
      </c>
      <c r="B21" s="13" t="s">
        <v>462</v>
      </c>
      <c r="C21" s="13" t="s">
        <v>459</v>
      </c>
      <c r="D21" s="13" t="str">
        <f>"1,0000"</f>
        <v>1,0000</v>
      </c>
      <c r="E21" s="13" t="s">
        <v>429</v>
      </c>
      <c r="F21" s="13" t="s">
        <v>433</v>
      </c>
      <c r="G21" s="15" t="s">
        <v>96</v>
      </c>
      <c r="H21" s="31">
        <v>60</v>
      </c>
      <c r="I21" s="13" t="s">
        <v>460</v>
      </c>
      <c r="J21" s="15"/>
      <c r="K21" s="13" t="s">
        <v>461</v>
      </c>
    </row>
    <row r="24" spans="5:6" ht="15">
      <c r="E24" s="16" t="s">
        <v>36</v>
      </c>
      <c r="F24" s="16" t="s">
        <v>413</v>
      </c>
    </row>
    <row r="25" spans="5:6" ht="15">
      <c r="E25" s="16" t="s">
        <v>37</v>
      </c>
      <c r="F25" s="16" t="s">
        <v>414</v>
      </c>
    </row>
    <row r="26" spans="5:6" ht="15">
      <c r="E26" s="16" t="s">
        <v>38</v>
      </c>
      <c r="F26" s="16" t="s">
        <v>415</v>
      </c>
    </row>
    <row r="27" spans="5:6" ht="15">
      <c r="E27" s="16" t="s">
        <v>39</v>
      </c>
      <c r="F27" s="16" t="s">
        <v>416</v>
      </c>
    </row>
    <row r="28" spans="5:6" ht="15">
      <c r="E28" s="16" t="s">
        <v>39</v>
      </c>
      <c r="F28" s="16" t="s">
        <v>417</v>
      </c>
    </row>
    <row r="29" spans="5:6" ht="15">
      <c r="E29" s="16" t="s">
        <v>40</v>
      </c>
      <c r="F29" s="16" t="s">
        <v>418</v>
      </c>
    </row>
    <row r="30" ht="15">
      <c r="E30" s="16"/>
    </row>
    <row r="32" spans="1:2" ht="18">
      <c r="A32" s="17"/>
      <c r="B32" s="17"/>
    </row>
    <row r="33" spans="1:2" ht="15">
      <c r="A33" s="18"/>
      <c r="B33" s="18"/>
    </row>
    <row r="34" spans="1:2" ht="14.25">
      <c r="A34" s="20"/>
      <c r="B34" s="21"/>
    </row>
    <row r="35" spans="1:5" ht="15">
      <c r="A35" s="1"/>
      <c r="B35" s="1"/>
      <c r="C35" s="1"/>
      <c r="D35" s="1"/>
      <c r="E35" s="1"/>
    </row>
    <row r="36" spans="1:5" ht="12.75">
      <c r="A36" s="19"/>
      <c r="E36" s="23"/>
    </row>
    <row r="37" spans="1:5" ht="12.75">
      <c r="A37" s="19"/>
      <c r="E37" s="23"/>
    </row>
  </sheetData>
  <sheetProtection/>
  <mergeCells count="16">
    <mergeCell ref="A18:K18"/>
    <mergeCell ref="K3:K4"/>
    <mergeCell ref="A5:K5"/>
    <mergeCell ref="A9:K9"/>
    <mergeCell ref="A12:K12"/>
    <mergeCell ref="A15:K1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E6" sqref="E6"/>
    </sheetView>
  </sheetViews>
  <sheetFormatPr defaultColWidth="9.1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31.75390625" style="4" bestFit="1" customWidth="1"/>
    <col min="6" max="6" width="29.00390625" style="4" bestFit="1" customWidth="1"/>
    <col min="7" max="7" width="5.625" style="3" bestFit="1" customWidth="1"/>
    <col min="8" max="8" width="4.625" style="29" bestFit="1" customWidth="1"/>
    <col min="9" max="9" width="7.875" style="4" bestFit="1" customWidth="1"/>
    <col min="10" max="10" width="7.625" style="3" bestFit="1" customWidth="1"/>
    <col min="11" max="11" width="29.00390625" style="4" bestFit="1" customWidth="1"/>
    <col min="12" max="16384" width="9.125" style="3" customWidth="1"/>
  </cols>
  <sheetData>
    <row r="1" spans="1:11" s="2" customFormat="1" ht="28.5" customHeight="1">
      <c r="A1" s="42" t="s">
        <v>468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s="2" customFormat="1" ht="61.5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1" s="1" customFormat="1" ht="12.75" customHeight="1">
      <c r="A3" s="59" t="s">
        <v>0</v>
      </c>
      <c r="B3" s="61" t="s">
        <v>6</v>
      </c>
      <c r="C3" s="61" t="s">
        <v>7</v>
      </c>
      <c r="D3" s="63" t="s">
        <v>388</v>
      </c>
      <c r="E3" s="63" t="s">
        <v>4</v>
      </c>
      <c r="F3" s="63" t="s">
        <v>8</v>
      </c>
      <c r="G3" s="65" t="s">
        <v>335</v>
      </c>
      <c r="H3" s="66"/>
      <c r="I3" s="63" t="s">
        <v>338</v>
      </c>
      <c r="J3" s="63" t="s">
        <v>3</v>
      </c>
      <c r="K3" s="68" t="s">
        <v>2</v>
      </c>
    </row>
    <row r="4" spans="1:11" s="1" customFormat="1" ht="21" customHeight="1" thickBot="1">
      <c r="A4" s="60"/>
      <c r="B4" s="62"/>
      <c r="C4" s="62"/>
      <c r="D4" s="64"/>
      <c r="E4" s="64"/>
      <c r="F4" s="64"/>
      <c r="G4" s="6" t="s">
        <v>336</v>
      </c>
      <c r="H4" s="27" t="s">
        <v>337</v>
      </c>
      <c r="I4" s="64"/>
      <c r="J4" s="64"/>
      <c r="K4" s="69"/>
    </row>
    <row r="5" spans="1:11" ht="15">
      <c r="A5" s="67" t="s">
        <v>92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ht="12.75">
      <c r="A6" s="7" t="s">
        <v>469</v>
      </c>
      <c r="B6" s="7" t="s">
        <v>470</v>
      </c>
      <c r="C6" s="7" t="s">
        <v>473</v>
      </c>
      <c r="D6" s="7" t="str">
        <f>"1,0000"</f>
        <v>1,0000</v>
      </c>
      <c r="E6" s="7" t="s">
        <v>429</v>
      </c>
      <c r="F6" s="7" t="s">
        <v>437</v>
      </c>
      <c r="G6" s="9" t="s">
        <v>471</v>
      </c>
      <c r="H6" s="28">
        <v>23</v>
      </c>
      <c r="I6" s="7" t="s">
        <v>472</v>
      </c>
      <c r="J6" s="9"/>
      <c r="K6" s="7" t="s">
        <v>474</v>
      </c>
    </row>
    <row r="9" spans="5:6" ht="15">
      <c r="E9" s="16" t="s">
        <v>36</v>
      </c>
      <c r="F9" s="16" t="s">
        <v>413</v>
      </c>
    </row>
    <row r="10" spans="5:6" ht="15">
      <c r="E10" s="16" t="s">
        <v>37</v>
      </c>
      <c r="F10" s="16" t="s">
        <v>414</v>
      </c>
    </row>
    <row r="11" spans="5:6" ht="15">
      <c r="E11" s="16" t="s">
        <v>38</v>
      </c>
      <c r="F11" s="16" t="s">
        <v>415</v>
      </c>
    </row>
    <row r="12" spans="5:6" ht="15">
      <c r="E12" s="16" t="s">
        <v>39</v>
      </c>
      <c r="F12" s="16" t="s">
        <v>416</v>
      </c>
    </row>
    <row r="13" spans="5:6" ht="15">
      <c r="E13" s="16" t="s">
        <v>39</v>
      </c>
      <c r="F13" s="16" t="s">
        <v>417</v>
      </c>
    </row>
    <row r="14" spans="5:6" ht="15">
      <c r="E14" s="16" t="s">
        <v>40</v>
      </c>
      <c r="F14" s="16" t="s">
        <v>418</v>
      </c>
    </row>
    <row r="15" ht="15">
      <c r="E15" s="16"/>
    </row>
    <row r="17" spans="1:2" ht="18">
      <c r="A17" s="17"/>
      <c r="B17" s="17"/>
    </row>
    <row r="18" spans="1:2" ht="15">
      <c r="A18" s="18"/>
      <c r="B18" s="18"/>
    </row>
    <row r="19" spans="1:2" ht="14.25">
      <c r="A19" s="20"/>
      <c r="B19" s="21"/>
    </row>
    <row r="20" spans="1:5" ht="15">
      <c r="A20" s="1"/>
      <c r="B20" s="1"/>
      <c r="C20" s="1"/>
      <c r="D20" s="1"/>
      <c r="E20" s="1"/>
    </row>
    <row r="21" spans="1:5" ht="12.75">
      <c r="A21" s="19"/>
      <c r="E21" s="23"/>
    </row>
    <row r="22" spans="1:5" ht="12.75">
      <c r="A22" s="19"/>
      <c r="E22" s="23"/>
    </row>
  </sheetData>
  <sheetProtection/>
  <mergeCells count="12">
    <mergeCell ref="K3:K4"/>
    <mergeCell ref="A5:K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E18" sqref="A1:IV65536"/>
    </sheetView>
  </sheetViews>
  <sheetFormatPr defaultColWidth="9.1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31.75390625" style="4" bestFit="1" customWidth="1"/>
    <col min="6" max="6" width="29.00390625" style="4" bestFit="1" customWidth="1"/>
    <col min="7" max="7" width="5.625" style="3" bestFit="1" customWidth="1"/>
    <col min="8" max="8" width="4.625" style="29" bestFit="1" customWidth="1"/>
    <col min="9" max="9" width="7.875" style="4" bestFit="1" customWidth="1"/>
    <col min="10" max="10" width="7.625" style="3" bestFit="1" customWidth="1"/>
    <col min="11" max="11" width="24.375" style="4" bestFit="1" customWidth="1"/>
    <col min="12" max="16384" width="9.125" style="3" customWidth="1"/>
  </cols>
  <sheetData>
    <row r="1" spans="1:11" s="2" customFormat="1" ht="28.5" customHeight="1">
      <c r="A1" s="42" t="s">
        <v>464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s="2" customFormat="1" ht="61.5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1" s="1" customFormat="1" ht="12.75" customHeight="1">
      <c r="A3" s="59" t="s">
        <v>0</v>
      </c>
      <c r="B3" s="61" t="s">
        <v>6</v>
      </c>
      <c r="C3" s="61" t="s">
        <v>7</v>
      </c>
      <c r="D3" s="63" t="s">
        <v>388</v>
      </c>
      <c r="E3" s="63" t="s">
        <v>4</v>
      </c>
      <c r="F3" s="63" t="s">
        <v>8</v>
      </c>
      <c r="G3" s="65" t="s">
        <v>335</v>
      </c>
      <c r="H3" s="66"/>
      <c r="I3" s="63" t="s">
        <v>338</v>
      </c>
      <c r="J3" s="63" t="s">
        <v>3</v>
      </c>
      <c r="K3" s="68" t="s">
        <v>2</v>
      </c>
    </row>
    <row r="4" spans="1:11" s="1" customFormat="1" ht="21" customHeight="1" thickBot="1">
      <c r="A4" s="60"/>
      <c r="B4" s="62"/>
      <c r="C4" s="62"/>
      <c r="D4" s="64"/>
      <c r="E4" s="64"/>
      <c r="F4" s="64"/>
      <c r="G4" s="6" t="s">
        <v>336</v>
      </c>
      <c r="H4" s="27" t="s">
        <v>337</v>
      </c>
      <c r="I4" s="64"/>
      <c r="J4" s="64"/>
      <c r="K4" s="69"/>
    </row>
    <row r="5" spans="1:11" ht="15">
      <c r="A5" s="67" t="s">
        <v>450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ht="12.75">
      <c r="A6" s="7" t="s">
        <v>328</v>
      </c>
      <c r="B6" s="7" t="s">
        <v>465</v>
      </c>
      <c r="C6" s="7" t="s">
        <v>330</v>
      </c>
      <c r="D6" s="7" t="str">
        <f>"1,0000"</f>
        <v>1,0000</v>
      </c>
      <c r="E6" s="7" t="s">
        <v>26</v>
      </c>
      <c r="F6" s="7" t="s">
        <v>27</v>
      </c>
      <c r="G6" s="9" t="s">
        <v>466</v>
      </c>
      <c r="H6" s="28">
        <v>8</v>
      </c>
      <c r="I6" s="7" t="s">
        <v>467</v>
      </c>
      <c r="J6" s="9"/>
      <c r="K6" s="7" t="s">
        <v>444</v>
      </c>
    </row>
    <row r="9" spans="5:6" ht="15">
      <c r="E9" s="16" t="s">
        <v>36</v>
      </c>
      <c r="F9" s="16" t="s">
        <v>413</v>
      </c>
    </row>
    <row r="10" spans="5:6" ht="15">
      <c r="E10" s="16" t="s">
        <v>37</v>
      </c>
      <c r="F10" s="16" t="s">
        <v>414</v>
      </c>
    </row>
    <row r="11" spans="5:6" ht="15">
      <c r="E11" s="16" t="s">
        <v>38</v>
      </c>
      <c r="F11" s="16" t="s">
        <v>415</v>
      </c>
    </row>
    <row r="12" spans="5:6" ht="15">
      <c r="E12" s="16" t="s">
        <v>39</v>
      </c>
      <c r="F12" s="16" t="s">
        <v>416</v>
      </c>
    </row>
    <row r="13" spans="5:6" ht="15">
      <c r="E13" s="16" t="s">
        <v>39</v>
      </c>
      <c r="F13" s="16" t="s">
        <v>417</v>
      </c>
    </row>
    <row r="14" spans="5:6" ht="15">
      <c r="E14" s="16" t="s">
        <v>40</v>
      </c>
      <c r="F14" s="16" t="s">
        <v>418</v>
      </c>
    </row>
    <row r="15" ht="15">
      <c r="E15" s="16"/>
    </row>
    <row r="17" spans="1:2" ht="18">
      <c r="A17" s="17"/>
      <c r="B17" s="17"/>
    </row>
    <row r="18" spans="1:2" ht="15">
      <c r="A18" s="18"/>
      <c r="B18" s="18"/>
    </row>
    <row r="19" spans="1:2" ht="14.25">
      <c r="A19" s="20"/>
      <c r="B19" s="21"/>
    </row>
    <row r="20" spans="1:5" ht="15">
      <c r="A20" s="1"/>
      <c r="B20" s="1"/>
      <c r="C20" s="1"/>
      <c r="D20" s="1"/>
      <c r="E20" s="1"/>
    </row>
    <row r="21" spans="1:5" ht="12.75">
      <c r="A21" s="19"/>
      <c r="E21" s="23"/>
    </row>
    <row r="22" spans="1:5" ht="12.75">
      <c r="A22" s="19"/>
      <c r="E22" s="23"/>
    </row>
  </sheetData>
  <sheetProtection/>
  <mergeCells count="12">
    <mergeCell ref="K3:K4"/>
    <mergeCell ref="A5:K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J13" sqref="J13"/>
    </sheetView>
  </sheetViews>
  <sheetFormatPr defaultColWidth="9.1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31.75390625" style="4" bestFit="1" customWidth="1"/>
    <col min="6" max="6" width="29.00390625" style="4" bestFit="1" customWidth="1"/>
    <col min="7" max="7" width="4.625" style="3" bestFit="1" customWidth="1"/>
    <col min="8" max="8" width="5.625" style="29" bestFit="1" customWidth="1"/>
    <col min="9" max="9" width="7.875" style="4" bestFit="1" customWidth="1"/>
    <col min="10" max="10" width="8.625" style="3" bestFit="1" customWidth="1"/>
    <col min="11" max="11" width="20.75390625" style="4" bestFit="1" customWidth="1"/>
    <col min="12" max="16384" width="9.125" style="3" customWidth="1"/>
  </cols>
  <sheetData>
    <row r="1" spans="1:11" s="2" customFormat="1" ht="28.5" customHeight="1">
      <c r="A1" s="42" t="s">
        <v>393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>
      <c r="A3" s="48" t="s">
        <v>0</v>
      </c>
      <c r="B3" s="50" t="s">
        <v>6</v>
      </c>
      <c r="C3" s="50" t="s">
        <v>7</v>
      </c>
      <c r="D3" s="36" t="s">
        <v>388</v>
      </c>
      <c r="E3" s="36" t="s">
        <v>4</v>
      </c>
      <c r="F3" s="36" t="s">
        <v>8</v>
      </c>
      <c r="G3" s="36" t="s">
        <v>335</v>
      </c>
      <c r="H3" s="36"/>
      <c r="I3" s="36" t="s">
        <v>338</v>
      </c>
      <c r="J3" s="36" t="s">
        <v>3</v>
      </c>
      <c r="K3" s="38" t="s">
        <v>2</v>
      </c>
    </row>
    <row r="4" spans="1:11" s="1" customFormat="1" ht="21" customHeight="1" thickBot="1">
      <c r="A4" s="49"/>
      <c r="B4" s="37"/>
      <c r="C4" s="37"/>
      <c r="D4" s="37"/>
      <c r="E4" s="37"/>
      <c r="F4" s="37"/>
      <c r="G4" s="5" t="s">
        <v>336</v>
      </c>
      <c r="H4" s="27" t="s">
        <v>337</v>
      </c>
      <c r="I4" s="37"/>
      <c r="J4" s="37"/>
      <c r="K4" s="39"/>
    </row>
    <row r="5" spans="1:10" ht="15">
      <c r="A5" s="40" t="s">
        <v>389</v>
      </c>
      <c r="B5" s="41"/>
      <c r="C5" s="41"/>
      <c r="D5" s="41"/>
      <c r="E5" s="41"/>
      <c r="F5" s="41"/>
      <c r="G5" s="41"/>
      <c r="H5" s="41"/>
      <c r="I5" s="41"/>
      <c r="J5" s="41"/>
    </row>
    <row r="6" spans="1:11" ht="12.75">
      <c r="A6" s="10" t="s">
        <v>394</v>
      </c>
      <c r="B6" s="10" t="s">
        <v>395</v>
      </c>
      <c r="C6" s="10" t="s">
        <v>396</v>
      </c>
      <c r="D6" s="10" t="str">
        <f>"1,0000"</f>
        <v>1,0000</v>
      </c>
      <c r="E6" s="10" t="s">
        <v>26</v>
      </c>
      <c r="F6" s="10" t="s">
        <v>27</v>
      </c>
      <c r="G6" s="12" t="s">
        <v>130</v>
      </c>
      <c r="H6" s="30">
        <v>355</v>
      </c>
      <c r="I6" s="35" t="s">
        <v>504</v>
      </c>
      <c r="J6" s="35" t="s">
        <v>503</v>
      </c>
      <c r="K6" s="10" t="s">
        <v>397</v>
      </c>
    </row>
    <row r="7" spans="1:11" ht="12.75">
      <c r="A7" s="13" t="s">
        <v>398</v>
      </c>
      <c r="B7" s="13" t="s">
        <v>399</v>
      </c>
      <c r="C7" s="13" t="s">
        <v>400</v>
      </c>
      <c r="D7" s="13" t="str">
        <f>"1,0000"</f>
        <v>1,0000</v>
      </c>
      <c r="E7" s="13" t="s">
        <v>401</v>
      </c>
      <c r="F7" s="13" t="s">
        <v>17</v>
      </c>
      <c r="G7" s="15" t="s">
        <v>130</v>
      </c>
      <c r="H7" s="31" t="s">
        <v>259</v>
      </c>
      <c r="I7" s="13" t="str">
        <f>"11000,0"</f>
        <v>11000,0</v>
      </c>
      <c r="J7" s="15" t="str">
        <f>"136,6459"</f>
        <v>136,6459</v>
      </c>
      <c r="K7" s="13" t="s">
        <v>402</v>
      </c>
    </row>
    <row r="9" spans="5:6" ht="15">
      <c r="E9" s="16" t="s">
        <v>36</v>
      </c>
      <c r="F9" s="16" t="s">
        <v>413</v>
      </c>
    </row>
    <row r="10" spans="5:6" ht="15">
      <c r="E10" s="16" t="s">
        <v>37</v>
      </c>
      <c r="F10" s="16" t="s">
        <v>414</v>
      </c>
    </row>
    <row r="11" spans="5:6" ht="15">
      <c r="E11" s="16" t="s">
        <v>38</v>
      </c>
      <c r="F11" s="16" t="s">
        <v>415</v>
      </c>
    </row>
    <row r="12" spans="5:6" ht="15">
      <c r="E12" s="16" t="s">
        <v>39</v>
      </c>
      <c r="F12" s="16" t="s">
        <v>416</v>
      </c>
    </row>
    <row r="13" spans="5:6" ht="15">
      <c r="E13" s="16" t="s">
        <v>39</v>
      </c>
      <c r="F13" s="16" t="s">
        <v>417</v>
      </c>
    </row>
    <row r="14" spans="5:6" ht="15">
      <c r="E14" s="16" t="s">
        <v>40</v>
      </c>
      <c r="F14" s="16" t="s">
        <v>418</v>
      </c>
    </row>
    <row r="15" ht="15">
      <c r="E15" s="16"/>
    </row>
    <row r="17" spans="1:2" ht="18">
      <c r="A17" s="17"/>
      <c r="B17" s="17"/>
    </row>
    <row r="18" spans="1:2" ht="15">
      <c r="A18" s="18"/>
      <c r="B18" s="18"/>
    </row>
    <row r="19" spans="1:2" ht="14.25">
      <c r="A19" s="20"/>
      <c r="B19" s="21"/>
    </row>
    <row r="20" spans="1:5" ht="15">
      <c r="A20" s="1"/>
      <c r="B20" s="1"/>
      <c r="C20" s="1"/>
      <c r="D20" s="1"/>
      <c r="E20" s="1"/>
    </row>
    <row r="21" spans="1:5" ht="12.75">
      <c r="A21" s="19"/>
      <c r="E21" s="23"/>
    </row>
    <row r="22" spans="1:5" ht="12.75">
      <c r="A22" s="19"/>
      <c r="E22" s="23"/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K10" sqref="K10"/>
    </sheetView>
  </sheetViews>
  <sheetFormatPr defaultColWidth="9.1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22.75390625" style="4" bestFit="1" customWidth="1"/>
    <col min="6" max="6" width="24.75390625" style="4" bestFit="1" customWidth="1"/>
    <col min="7" max="7" width="4.625" style="3" bestFit="1" customWidth="1"/>
    <col min="8" max="8" width="4.625" style="29" bestFit="1" customWidth="1"/>
    <col min="9" max="9" width="7.875" style="4" bestFit="1" customWidth="1"/>
    <col min="10" max="10" width="7.625" style="3" bestFit="1" customWidth="1"/>
    <col min="11" max="11" width="29.00390625" style="4" bestFit="1" customWidth="1"/>
    <col min="12" max="16384" width="9.125" style="3" customWidth="1"/>
  </cols>
  <sheetData>
    <row r="1" spans="1:11" s="2" customFormat="1" ht="28.5" customHeight="1">
      <c r="A1" s="42" t="s">
        <v>387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>
      <c r="A3" s="48" t="s">
        <v>0</v>
      </c>
      <c r="B3" s="50" t="s">
        <v>6</v>
      </c>
      <c r="C3" s="50" t="s">
        <v>7</v>
      </c>
      <c r="D3" s="36" t="s">
        <v>388</v>
      </c>
      <c r="E3" s="36" t="s">
        <v>4</v>
      </c>
      <c r="F3" s="36" t="s">
        <v>8</v>
      </c>
      <c r="G3" s="36" t="s">
        <v>335</v>
      </c>
      <c r="H3" s="36"/>
      <c r="I3" s="36" t="s">
        <v>338</v>
      </c>
      <c r="J3" s="36" t="s">
        <v>3</v>
      </c>
      <c r="K3" s="38" t="s">
        <v>2</v>
      </c>
    </row>
    <row r="4" spans="1:11" s="1" customFormat="1" ht="21" customHeight="1" thickBot="1">
      <c r="A4" s="49"/>
      <c r="B4" s="37"/>
      <c r="C4" s="37"/>
      <c r="D4" s="37"/>
      <c r="E4" s="37"/>
      <c r="F4" s="37"/>
      <c r="G4" s="5" t="s">
        <v>336</v>
      </c>
      <c r="H4" s="27" t="s">
        <v>337</v>
      </c>
      <c r="I4" s="37"/>
      <c r="J4" s="37"/>
      <c r="K4" s="39"/>
    </row>
    <row r="5" spans="1:10" ht="15">
      <c r="A5" s="40" t="s">
        <v>389</v>
      </c>
      <c r="B5" s="41"/>
      <c r="C5" s="41"/>
      <c r="D5" s="41"/>
      <c r="E5" s="41"/>
      <c r="F5" s="41"/>
      <c r="G5" s="41"/>
      <c r="H5" s="41"/>
      <c r="I5" s="41"/>
      <c r="J5" s="41"/>
    </row>
    <row r="6" spans="1:11" ht="12.75">
      <c r="A6" s="7" t="s">
        <v>390</v>
      </c>
      <c r="B6" s="7" t="s">
        <v>391</v>
      </c>
      <c r="C6" s="7" t="s">
        <v>347</v>
      </c>
      <c r="D6" s="7" t="str">
        <f>"1,0000"</f>
        <v>1,0000</v>
      </c>
      <c r="E6" s="7" t="s">
        <v>128</v>
      </c>
      <c r="F6" s="7" t="s">
        <v>129</v>
      </c>
      <c r="G6" s="9" t="s">
        <v>384</v>
      </c>
      <c r="H6" s="28" t="s">
        <v>392</v>
      </c>
      <c r="I6" s="7" t="str">
        <f>"875,0"</f>
        <v>875,0</v>
      </c>
      <c r="J6" s="9" t="str">
        <f>"13,5658"</f>
        <v>13,5658</v>
      </c>
      <c r="K6" s="7" t="s">
        <v>131</v>
      </c>
    </row>
    <row r="8" spans="5:6" ht="15">
      <c r="E8" s="16" t="s">
        <v>36</v>
      </c>
      <c r="F8" s="16" t="s">
        <v>413</v>
      </c>
    </row>
    <row r="9" spans="5:6" ht="15">
      <c r="E9" s="16" t="s">
        <v>37</v>
      </c>
      <c r="F9" s="16" t="s">
        <v>414</v>
      </c>
    </row>
    <row r="10" spans="5:6" ht="15">
      <c r="E10" s="16" t="s">
        <v>38</v>
      </c>
      <c r="F10" s="16" t="s">
        <v>415</v>
      </c>
    </row>
    <row r="11" spans="5:6" ht="15">
      <c r="E11" s="16" t="s">
        <v>39</v>
      </c>
      <c r="F11" s="16" t="s">
        <v>416</v>
      </c>
    </row>
    <row r="12" spans="5:6" ht="15">
      <c r="E12" s="16" t="s">
        <v>39</v>
      </c>
      <c r="F12" s="16" t="s">
        <v>417</v>
      </c>
    </row>
    <row r="13" spans="5:6" ht="15">
      <c r="E13" s="16" t="s">
        <v>40</v>
      </c>
      <c r="F13" s="16" t="s">
        <v>418</v>
      </c>
    </row>
    <row r="14" ht="15">
      <c r="E14" s="16"/>
    </row>
    <row r="16" spans="1:2" ht="18">
      <c r="A16" s="17"/>
      <c r="B16" s="17"/>
    </row>
    <row r="17" spans="1:2" ht="15">
      <c r="A17" s="18"/>
      <c r="B17" s="18"/>
    </row>
    <row r="18" spans="1:2" ht="14.25">
      <c r="A18" s="20"/>
      <c r="B18" s="21"/>
    </row>
    <row r="19" spans="1:5" ht="15">
      <c r="A19" s="1"/>
      <c r="B19" s="1"/>
      <c r="C19" s="1"/>
      <c r="D19" s="1"/>
      <c r="E19" s="1"/>
    </row>
    <row r="20" spans="1:5" ht="12.75">
      <c r="A20" s="19"/>
      <c r="E20" s="23"/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A20" sqref="A20:E34"/>
    </sheetView>
  </sheetViews>
  <sheetFormatPr defaultColWidth="9.1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31.75390625" style="4" bestFit="1" customWidth="1"/>
    <col min="6" max="6" width="30.25390625" style="4" bestFit="1" customWidth="1"/>
    <col min="7" max="9" width="4.625" style="3" bestFit="1" customWidth="1"/>
    <col min="10" max="10" width="4.875" style="3" bestFit="1" customWidth="1"/>
    <col min="11" max="13" width="4.625" style="3" bestFit="1" customWidth="1"/>
    <col min="14" max="14" width="4.875" style="3" bestFit="1" customWidth="1"/>
    <col min="15" max="15" width="7.875" style="4" bestFit="1" customWidth="1"/>
    <col min="16" max="16" width="7.625" style="3" bestFit="1" customWidth="1"/>
    <col min="17" max="17" width="25.75390625" style="4" bestFit="1" customWidth="1"/>
    <col min="18" max="16384" width="9.125" style="3" customWidth="1"/>
  </cols>
  <sheetData>
    <row r="1" spans="1:17" s="2" customFormat="1" ht="28.5" customHeight="1">
      <c r="A1" s="42" t="s">
        <v>386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s="2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</row>
    <row r="3" spans="1:17" s="1" customFormat="1" ht="12.75" customHeight="1">
      <c r="A3" s="48" t="s">
        <v>0</v>
      </c>
      <c r="B3" s="50" t="s">
        <v>6</v>
      </c>
      <c r="C3" s="50" t="s">
        <v>7</v>
      </c>
      <c r="D3" s="36" t="s">
        <v>10</v>
      </c>
      <c r="E3" s="36" t="s">
        <v>4</v>
      </c>
      <c r="F3" s="36" t="s">
        <v>8</v>
      </c>
      <c r="G3" s="36" t="s">
        <v>379</v>
      </c>
      <c r="H3" s="36"/>
      <c r="I3" s="36"/>
      <c r="J3" s="36"/>
      <c r="K3" s="36" t="s">
        <v>345</v>
      </c>
      <c r="L3" s="36"/>
      <c r="M3" s="36"/>
      <c r="N3" s="36"/>
      <c r="O3" s="36" t="s">
        <v>1</v>
      </c>
      <c r="P3" s="36" t="s">
        <v>3</v>
      </c>
      <c r="Q3" s="38" t="s">
        <v>2</v>
      </c>
    </row>
    <row r="4" spans="1:17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37"/>
      <c r="P4" s="37"/>
      <c r="Q4" s="39"/>
    </row>
    <row r="5" spans="1:16" ht="15">
      <c r="A5" s="40" t="s">
        <v>12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7" ht="12.75">
      <c r="A6" s="7" t="s">
        <v>368</v>
      </c>
      <c r="B6" s="7" t="s">
        <v>369</v>
      </c>
      <c r="C6" s="7" t="s">
        <v>370</v>
      </c>
      <c r="D6" s="7" t="str">
        <f>"0,6376"</f>
        <v>0,6376</v>
      </c>
      <c r="E6" s="7" t="s">
        <v>26</v>
      </c>
      <c r="F6" s="7" t="s">
        <v>56</v>
      </c>
      <c r="G6" s="9" t="s">
        <v>130</v>
      </c>
      <c r="H6" s="9" t="s">
        <v>357</v>
      </c>
      <c r="I6" s="8" t="s">
        <v>120</v>
      </c>
      <c r="J6" s="8"/>
      <c r="K6" s="9" t="s">
        <v>353</v>
      </c>
      <c r="L6" s="9" t="s">
        <v>357</v>
      </c>
      <c r="M6" s="8" t="s">
        <v>120</v>
      </c>
      <c r="N6" s="8"/>
      <c r="O6" s="7" t="str">
        <f>"120,0"</f>
        <v>120,0</v>
      </c>
      <c r="P6" s="9" t="str">
        <f>"76,5120"</f>
        <v>76,5120</v>
      </c>
      <c r="Q6" s="7" t="s">
        <v>358</v>
      </c>
    </row>
    <row r="8" spans="1:16" ht="15">
      <c r="A8" s="52" t="s">
        <v>92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7" ht="12.75">
      <c r="A9" s="7" t="s">
        <v>375</v>
      </c>
      <c r="B9" s="7" t="s">
        <v>376</v>
      </c>
      <c r="C9" s="7" t="s">
        <v>377</v>
      </c>
      <c r="D9" s="7" t="str">
        <f>"0,6004"</f>
        <v>0,6004</v>
      </c>
      <c r="E9" s="7" t="s">
        <v>26</v>
      </c>
      <c r="F9" s="7" t="s">
        <v>56</v>
      </c>
      <c r="G9" s="9" t="s">
        <v>91</v>
      </c>
      <c r="H9" s="9" t="s">
        <v>218</v>
      </c>
      <c r="I9" s="9" t="s">
        <v>252</v>
      </c>
      <c r="J9" s="8"/>
      <c r="K9" s="9" t="s">
        <v>130</v>
      </c>
      <c r="L9" s="9" t="s">
        <v>353</v>
      </c>
      <c r="M9" s="8" t="s">
        <v>357</v>
      </c>
      <c r="N9" s="8"/>
      <c r="O9" s="7" t="str">
        <f>"137,5"</f>
        <v>137,5</v>
      </c>
      <c r="P9" s="9" t="str">
        <f>"86,5176"</f>
        <v>86,5176</v>
      </c>
      <c r="Q9" s="7" t="s">
        <v>358</v>
      </c>
    </row>
    <row r="11" spans="5:6" ht="15">
      <c r="E11" s="16" t="s">
        <v>36</v>
      </c>
      <c r="F11" s="16" t="s">
        <v>413</v>
      </c>
    </row>
    <row r="12" spans="5:6" ht="15">
      <c r="E12" s="16" t="s">
        <v>37</v>
      </c>
      <c r="F12" s="16" t="s">
        <v>414</v>
      </c>
    </row>
    <row r="13" spans="5:6" ht="15">
      <c r="E13" s="16" t="s">
        <v>38</v>
      </c>
      <c r="F13" s="16" t="s">
        <v>415</v>
      </c>
    </row>
    <row r="14" spans="5:6" ht="15">
      <c r="E14" s="16" t="s">
        <v>39</v>
      </c>
      <c r="F14" s="16" t="s">
        <v>416</v>
      </c>
    </row>
    <row r="15" spans="5:6" ht="15">
      <c r="E15" s="16" t="s">
        <v>39</v>
      </c>
      <c r="F15" s="16" t="s">
        <v>417</v>
      </c>
    </row>
    <row r="16" spans="5:6" ht="15">
      <c r="E16" s="16" t="s">
        <v>40</v>
      </c>
      <c r="F16" s="16" t="s">
        <v>418</v>
      </c>
    </row>
    <row r="17" ht="15">
      <c r="E17" s="16"/>
    </row>
    <row r="19" spans="1:2" ht="18">
      <c r="A19" s="17"/>
      <c r="B19" s="17"/>
    </row>
    <row r="20" spans="1:2" ht="15">
      <c r="A20" s="18"/>
      <c r="B20" s="18"/>
    </row>
    <row r="21" spans="1:2" ht="14.25">
      <c r="A21" s="20"/>
      <c r="B21" s="21"/>
    </row>
    <row r="22" spans="1:5" ht="15">
      <c r="A22" s="1"/>
      <c r="B22" s="1"/>
      <c r="C22" s="1"/>
      <c r="D22" s="1"/>
      <c r="E22" s="1"/>
    </row>
    <row r="23" spans="1:5" ht="12.75">
      <c r="A23" s="19"/>
      <c r="E23" s="23"/>
    </row>
    <row r="25" spans="1:2" ht="14.25">
      <c r="A25" s="20"/>
      <c r="B25" s="21"/>
    </row>
    <row r="26" spans="1:5" ht="15">
      <c r="A26" s="1"/>
      <c r="B26" s="1"/>
      <c r="C26" s="1"/>
      <c r="D26" s="1"/>
      <c r="E26" s="1"/>
    </row>
    <row r="27" spans="1:5" ht="12.75">
      <c r="A27" s="19"/>
      <c r="E27" s="23"/>
    </row>
  </sheetData>
  <sheetProtection/>
  <mergeCells count="14">
    <mergeCell ref="A5:P5"/>
    <mergeCell ref="A8:P8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22" sqref="A22:F36"/>
    </sheetView>
  </sheetViews>
  <sheetFormatPr defaultColWidth="9.125" defaultRowHeight="12.75"/>
  <cols>
    <col min="1" max="1" width="26.00390625" style="4" bestFit="1" customWidth="1"/>
    <col min="2" max="2" width="27.75390625" style="4" bestFit="1" customWidth="1"/>
    <col min="3" max="3" width="10.625" style="4" bestFit="1" customWidth="1"/>
    <col min="4" max="4" width="9.25390625" style="4" bestFit="1" customWidth="1"/>
    <col min="5" max="5" width="31.75390625" style="4" bestFit="1" customWidth="1"/>
    <col min="6" max="6" width="30.25390625" style="4" bestFit="1" customWidth="1"/>
    <col min="7" max="9" width="4.625" style="3" bestFit="1" customWidth="1"/>
    <col min="10" max="10" width="4.875" style="3" bestFit="1" customWidth="1"/>
    <col min="11" max="13" width="4.625" style="3" bestFit="1" customWidth="1"/>
    <col min="14" max="14" width="4.875" style="3" bestFit="1" customWidth="1"/>
    <col min="15" max="15" width="7.875" style="4" bestFit="1" customWidth="1"/>
    <col min="16" max="16" width="7.625" style="3" bestFit="1" customWidth="1"/>
    <col min="17" max="17" width="30.125" style="4" bestFit="1" customWidth="1"/>
    <col min="18" max="16384" width="9.125" style="3" customWidth="1"/>
  </cols>
  <sheetData>
    <row r="1" spans="1:17" s="2" customFormat="1" ht="28.5" customHeight="1">
      <c r="A1" s="42" t="s">
        <v>378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s="2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</row>
    <row r="3" spans="1:17" s="1" customFormat="1" ht="12.75" customHeight="1">
      <c r="A3" s="48" t="s">
        <v>0</v>
      </c>
      <c r="B3" s="50" t="s">
        <v>6</v>
      </c>
      <c r="C3" s="50" t="s">
        <v>7</v>
      </c>
      <c r="D3" s="36" t="s">
        <v>10</v>
      </c>
      <c r="E3" s="36" t="s">
        <v>4</v>
      </c>
      <c r="F3" s="36" t="s">
        <v>8</v>
      </c>
      <c r="G3" s="36" t="s">
        <v>379</v>
      </c>
      <c r="H3" s="36"/>
      <c r="I3" s="36"/>
      <c r="J3" s="36"/>
      <c r="K3" s="36" t="s">
        <v>345</v>
      </c>
      <c r="L3" s="36"/>
      <c r="M3" s="36"/>
      <c r="N3" s="36"/>
      <c r="O3" s="36" t="s">
        <v>1</v>
      </c>
      <c r="P3" s="36" t="s">
        <v>3</v>
      </c>
      <c r="Q3" s="38" t="s">
        <v>2</v>
      </c>
    </row>
    <row r="4" spans="1:17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37"/>
      <c r="P4" s="37"/>
      <c r="Q4" s="39"/>
    </row>
    <row r="5" spans="1:16" ht="15">
      <c r="A5" s="40" t="s">
        <v>111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7" ht="12.75">
      <c r="A6" s="10" t="s">
        <v>380</v>
      </c>
      <c r="B6" s="10" t="s">
        <v>381</v>
      </c>
      <c r="C6" s="10" t="s">
        <v>351</v>
      </c>
      <c r="D6" s="10" t="str">
        <f>"0,8853"</f>
        <v>0,8853</v>
      </c>
      <c r="E6" s="10" t="s">
        <v>16</v>
      </c>
      <c r="F6" s="10" t="s">
        <v>382</v>
      </c>
      <c r="G6" s="12" t="s">
        <v>383</v>
      </c>
      <c r="H6" s="12" t="s">
        <v>108</v>
      </c>
      <c r="I6" s="11" t="s">
        <v>109</v>
      </c>
      <c r="J6" s="11"/>
      <c r="K6" s="12" t="s">
        <v>384</v>
      </c>
      <c r="L6" s="12" t="s">
        <v>139</v>
      </c>
      <c r="M6" s="11" t="s">
        <v>107</v>
      </c>
      <c r="N6" s="11"/>
      <c r="O6" s="10" t="str">
        <f>"82,5"</f>
        <v>82,5</v>
      </c>
      <c r="P6" s="12" t="str">
        <f>"86,1840"</f>
        <v>86,1840</v>
      </c>
      <c r="Q6" s="10" t="s">
        <v>385</v>
      </c>
    </row>
    <row r="7" spans="1:17" ht="12.75">
      <c r="A7" s="13" t="s">
        <v>349</v>
      </c>
      <c r="B7" s="13" t="s">
        <v>350</v>
      </c>
      <c r="C7" s="13" t="s">
        <v>351</v>
      </c>
      <c r="D7" s="13" t="str">
        <f>"0,8853"</f>
        <v>0,8853</v>
      </c>
      <c r="E7" s="13" t="s">
        <v>16</v>
      </c>
      <c r="F7" s="13" t="s">
        <v>352</v>
      </c>
      <c r="G7" s="15" t="s">
        <v>109</v>
      </c>
      <c r="H7" s="15" t="s">
        <v>115</v>
      </c>
      <c r="I7" s="14" t="s">
        <v>116</v>
      </c>
      <c r="J7" s="14"/>
      <c r="K7" s="15" t="s">
        <v>108</v>
      </c>
      <c r="L7" s="15" t="s">
        <v>109</v>
      </c>
      <c r="M7" s="14" t="s">
        <v>115</v>
      </c>
      <c r="N7" s="14"/>
      <c r="O7" s="13" t="str">
        <f>"97,5"</f>
        <v>97,5</v>
      </c>
      <c r="P7" s="15" t="str">
        <f>"97,5379"</f>
        <v>97,5379</v>
      </c>
      <c r="Q7" s="13" t="s">
        <v>21</v>
      </c>
    </row>
    <row r="9" spans="1:16" ht="15">
      <c r="A9" s="52" t="s">
        <v>141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7" ht="12.75">
      <c r="A10" s="10" t="s">
        <v>260</v>
      </c>
      <c r="B10" s="10" t="s">
        <v>261</v>
      </c>
      <c r="C10" s="10" t="s">
        <v>262</v>
      </c>
      <c r="D10" s="10" t="str">
        <f>"0,6831"</f>
        <v>0,6831</v>
      </c>
      <c r="E10" s="10" t="s">
        <v>106</v>
      </c>
      <c r="F10" s="10" t="s">
        <v>17</v>
      </c>
      <c r="G10" s="12" t="s">
        <v>130</v>
      </c>
      <c r="H10" s="12" t="s">
        <v>353</v>
      </c>
      <c r="I10" s="12" t="s">
        <v>357</v>
      </c>
      <c r="J10" s="11"/>
      <c r="K10" s="12" t="s">
        <v>116</v>
      </c>
      <c r="L10" s="12" t="s">
        <v>130</v>
      </c>
      <c r="M10" s="12" t="s">
        <v>353</v>
      </c>
      <c r="N10" s="11"/>
      <c r="O10" s="10" t="str">
        <f>"117,5"</f>
        <v>117,5</v>
      </c>
      <c r="P10" s="12" t="str">
        <f>"85,0863"</f>
        <v>85,0863</v>
      </c>
      <c r="Q10" s="10" t="s">
        <v>110</v>
      </c>
    </row>
    <row r="11" spans="1:17" ht="12.75">
      <c r="A11" s="13" t="s">
        <v>354</v>
      </c>
      <c r="B11" s="13" t="s">
        <v>355</v>
      </c>
      <c r="C11" s="13" t="s">
        <v>356</v>
      </c>
      <c r="D11" s="13" t="str">
        <f>"0,6737"</f>
        <v>0,6737</v>
      </c>
      <c r="E11" s="13" t="s">
        <v>26</v>
      </c>
      <c r="F11" s="13" t="s">
        <v>56</v>
      </c>
      <c r="G11" s="14" t="s">
        <v>130</v>
      </c>
      <c r="H11" s="15" t="s">
        <v>130</v>
      </c>
      <c r="I11" s="15" t="s">
        <v>357</v>
      </c>
      <c r="J11" s="14"/>
      <c r="K11" s="15" t="s">
        <v>115</v>
      </c>
      <c r="L11" s="15" t="s">
        <v>353</v>
      </c>
      <c r="M11" s="14" t="s">
        <v>357</v>
      </c>
      <c r="N11" s="14"/>
      <c r="O11" s="13" t="str">
        <f>"117,5"</f>
        <v>117,5</v>
      </c>
      <c r="P11" s="15" t="str">
        <f>"79,1597"</f>
        <v>79,1597</v>
      </c>
      <c r="Q11" s="13" t="s">
        <v>358</v>
      </c>
    </row>
    <row r="13" spans="5:6" ht="15">
      <c r="E13" s="16" t="s">
        <v>36</v>
      </c>
      <c r="F13" s="16" t="s">
        <v>413</v>
      </c>
    </row>
    <row r="14" spans="5:6" ht="15">
      <c r="E14" s="16" t="s">
        <v>37</v>
      </c>
      <c r="F14" s="16" t="s">
        <v>414</v>
      </c>
    </row>
    <row r="15" spans="5:6" ht="15">
      <c r="E15" s="16" t="s">
        <v>38</v>
      </c>
      <c r="F15" s="16" t="s">
        <v>415</v>
      </c>
    </row>
    <row r="16" spans="5:6" ht="15">
      <c r="E16" s="16" t="s">
        <v>39</v>
      </c>
      <c r="F16" s="16" t="s">
        <v>416</v>
      </c>
    </row>
    <row r="17" spans="5:6" ht="15">
      <c r="E17" s="16" t="s">
        <v>39</v>
      </c>
      <c r="F17" s="16" t="s">
        <v>417</v>
      </c>
    </row>
    <row r="18" spans="5:6" ht="15">
      <c r="E18" s="16" t="s">
        <v>40</v>
      </c>
      <c r="F18" s="16" t="s">
        <v>418</v>
      </c>
    </row>
    <row r="19" ht="15">
      <c r="E19" s="16"/>
    </row>
    <row r="21" spans="1:2" ht="18">
      <c r="A21" s="17"/>
      <c r="B21" s="17"/>
    </row>
    <row r="22" spans="1:2" ht="15">
      <c r="A22" s="18"/>
      <c r="B22" s="18"/>
    </row>
    <row r="23" spans="1:2" ht="14.25">
      <c r="A23" s="20"/>
      <c r="B23" s="21"/>
    </row>
    <row r="24" spans="1:5" ht="15">
      <c r="A24" s="1"/>
      <c r="B24" s="1"/>
      <c r="C24" s="1"/>
      <c r="D24" s="1"/>
      <c r="E24" s="1"/>
    </row>
    <row r="25" spans="1:5" ht="12.75">
      <c r="A25" s="19"/>
      <c r="E25" s="23"/>
    </row>
    <row r="26" spans="1:5" ht="12.75">
      <c r="A26" s="19"/>
      <c r="E26" s="23"/>
    </row>
    <row r="27" spans="1:5" ht="12.75">
      <c r="A27" s="19"/>
      <c r="E27" s="23"/>
    </row>
    <row r="29" spans="1:2" ht="14.25">
      <c r="A29" s="20"/>
      <c r="B29" s="21"/>
    </row>
    <row r="30" spans="1:5" ht="15">
      <c r="A30" s="1"/>
      <c r="B30" s="1"/>
      <c r="C30" s="1"/>
      <c r="D30" s="1"/>
      <c r="E30" s="1"/>
    </row>
    <row r="31" spans="1:5" ht="12.75">
      <c r="A31" s="19"/>
      <c r="E31" s="23"/>
    </row>
  </sheetData>
  <sheetProtection/>
  <mergeCells count="14">
    <mergeCell ref="A5:P5"/>
    <mergeCell ref="A9:P9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L20" sqref="L20"/>
    </sheetView>
  </sheetViews>
  <sheetFormatPr defaultColWidth="9.1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31.75390625" style="4" bestFit="1" customWidth="1"/>
    <col min="6" max="6" width="30.2539062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29.00390625" style="4" bestFit="1" customWidth="1"/>
    <col min="14" max="16384" width="9.125" style="3" customWidth="1"/>
  </cols>
  <sheetData>
    <row r="1" spans="1:13" s="2" customFormat="1" ht="28.5" customHeight="1">
      <c r="A1" s="42" t="s">
        <v>367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6</v>
      </c>
      <c r="C3" s="50" t="s">
        <v>7</v>
      </c>
      <c r="D3" s="36" t="s">
        <v>10</v>
      </c>
      <c r="E3" s="36" t="s">
        <v>4</v>
      </c>
      <c r="F3" s="36" t="s">
        <v>8</v>
      </c>
      <c r="G3" s="36" t="s">
        <v>345</v>
      </c>
      <c r="H3" s="36"/>
      <c r="I3" s="36"/>
      <c r="J3" s="36"/>
      <c r="K3" s="36" t="s">
        <v>50</v>
      </c>
      <c r="L3" s="36" t="s">
        <v>3</v>
      </c>
      <c r="M3" s="38" t="s">
        <v>2</v>
      </c>
    </row>
    <row r="4" spans="1:13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2" ht="15">
      <c r="A5" s="40" t="s">
        <v>12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3" ht="12.75">
      <c r="A6" s="7" t="s">
        <v>368</v>
      </c>
      <c r="B6" s="7" t="s">
        <v>369</v>
      </c>
      <c r="C6" s="7" t="s">
        <v>370</v>
      </c>
      <c r="D6" s="7" t="str">
        <f>"0,6376"</f>
        <v>0,6376</v>
      </c>
      <c r="E6" s="7" t="s">
        <v>26</v>
      </c>
      <c r="F6" s="7" t="s">
        <v>56</v>
      </c>
      <c r="G6" s="9" t="s">
        <v>353</v>
      </c>
      <c r="H6" s="9" t="s">
        <v>357</v>
      </c>
      <c r="I6" s="8" t="s">
        <v>120</v>
      </c>
      <c r="J6" s="8"/>
      <c r="K6" s="7" t="str">
        <f>"60,0"</f>
        <v>60,0</v>
      </c>
      <c r="L6" s="9" t="str">
        <f>"38,2560"</f>
        <v>38,2560</v>
      </c>
      <c r="M6" s="7" t="s">
        <v>358</v>
      </c>
    </row>
    <row r="8" spans="1:12" ht="15">
      <c r="A8" s="52" t="s">
        <v>92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 ht="12.75">
      <c r="A9" s="10" t="s">
        <v>371</v>
      </c>
      <c r="B9" s="10" t="s">
        <v>372</v>
      </c>
      <c r="C9" s="10" t="s">
        <v>373</v>
      </c>
      <c r="D9" s="10" t="str">
        <f>"0,6152"</f>
        <v>0,6152</v>
      </c>
      <c r="E9" s="10" t="s">
        <v>26</v>
      </c>
      <c r="F9" s="10" t="s">
        <v>56</v>
      </c>
      <c r="G9" s="12" t="s">
        <v>121</v>
      </c>
      <c r="H9" s="12" t="s">
        <v>90</v>
      </c>
      <c r="I9" s="12" t="s">
        <v>217</v>
      </c>
      <c r="J9" s="11"/>
      <c r="K9" s="10" t="str">
        <f>"72,5"</f>
        <v>72,5</v>
      </c>
      <c r="L9" s="12" t="str">
        <f>"44,6020"</f>
        <v>44,6020</v>
      </c>
      <c r="M9" s="10" t="s">
        <v>374</v>
      </c>
    </row>
    <row r="10" spans="1:13" ht="12.75">
      <c r="A10" s="13" t="s">
        <v>375</v>
      </c>
      <c r="B10" s="13" t="s">
        <v>376</v>
      </c>
      <c r="C10" s="13" t="s">
        <v>377</v>
      </c>
      <c r="D10" s="13" t="str">
        <f>"0,6004"</f>
        <v>0,6004</v>
      </c>
      <c r="E10" s="13" t="s">
        <v>26</v>
      </c>
      <c r="F10" s="13" t="s">
        <v>56</v>
      </c>
      <c r="G10" s="15" t="s">
        <v>130</v>
      </c>
      <c r="H10" s="15" t="s">
        <v>353</v>
      </c>
      <c r="I10" s="14" t="s">
        <v>357</v>
      </c>
      <c r="J10" s="14"/>
      <c r="K10" s="13" t="str">
        <f>"57,5"</f>
        <v>57,5</v>
      </c>
      <c r="L10" s="15" t="str">
        <f>"36,1801"</f>
        <v>36,1801</v>
      </c>
      <c r="M10" s="13" t="s">
        <v>358</v>
      </c>
    </row>
    <row r="12" spans="1:12" ht="15">
      <c r="A12" s="52" t="s">
        <v>22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3" ht="12.75">
      <c r="A13" s="7" t="s">
        <v>197</v>
      </c>
      <c r="B13" s="7" t="s">
        <v>201</v>
      </c>
      <c r="C13" s="7" t="s">
        <v>199</v>
      </c>
      <c r="D13" s="7" t="str">
        <f>"0,5353"</f>
        <v>0,5353</v>
      </c>
      <c r="E13" s="7" t="s">
        <v>128</v>
      </c>
      <c r="F13" s="7" t="s">
        <v>129</v>
      </c>
      <c r="G13" s="9" t="s">
        <v>120</v>
      </c>
      <c r="H13" s="8" t="s">
        <v>91</v>
      </c>
      <c r="I13" s="8" t="s">
        <v>91</v>
      </c>
      <c r="J13" s="8"/>
      <c r="K13" s="7" t="str">
        <f>"62,5"</f>
        <v>62,5</v>
      </c>
      <c r="L13" s="9" t="str">
        <f>"33,5566"</f>
        <v>33,5566</v>
      </c>
      <c r="M13" s="7" t="s">
        <v>131</v>
      </c>
    </row>
    <row r="15" spans="5:6" ht="15">
      <c r="E15" s="16" t="s">
        <v>36</v>
      </c>
      <c r="F15" s="16" t="s">
        <v>413</v>
      </c>
    </row>
    <row r="16" spans="5:6" ht="15">
      <c r="E16" s="16" t="s">
        <v>37</v>
      </c>
      <c r="F16" s="16" t="s">
        <v>414</v>
      </c>
    </row>
    <row r="17" spans="5:6" ht="15">
      <c r="E17" s="16" t="s">
        <v>38</v>
      </c>
      <c r="F17" s="16" t="s">
        <v>415</v>
      </c>
    </row>
    <row r="18" spans="5:6" ht="15">
      <c r="E18" s="16" t="s">
        <v>39</v>
      </c>
      <c r="F18" s="16" t="s">
        <v>416</v>
      </c>
    </row>
    <row r="19" spans="5:6" ht="15">
      <c r="E19" s="16" t="s">
        <v>39</v>
      </c>
      <c r="F19" s="16" t="s">
        <v>417</v>
      </c>
    </row>
    <row r="20" spans="5:6" ht="15">
      <c r="E20" s="16" t="s">
        <v>40</v>
      </c>
      <c r="F20" s="16" t="s">
        <v>418</v>
      </c>
    </row>
    <row r="21" ht="15">
      <c r="E21" s="16"/>
    </row>
    <row r="23" spans="1:2" ht="18">
      <c r="A23" s="17"/>
      <c r="B23" s="17"/>
    </row>
    <row r="24" spans="1:2" ht="15">
      <c r="A24" s="18"/>
      <c r="B24" s="18"/>
    </row>
    <row r="25" spans="1:2" ht="14.25">
      <c r="A25" s="20"/>
      <c r="B25" s="21"/>
    </row>
    <row r="26" spans="1:5" ht="15">
      <c r="A26" s="1"/>
      <c r="B26" s="1"/>
      <c r="C26" s="1"/>
      <c r="D26" s="1"/>
      <c r="E26" s="1"/>
    </row>
    <row r="27" spans="1:5" ht="12.75">
      <c r="A27" s="19"/>
      <c r="E27" s="23"/>
    </row>
    <row r="29" spans="1:2" ht="14.25">
      <c r="A29" s="20"/>
      <c r="B29" s="21"/>
    </row>
    <row r="30" spans="1:5" ht="15">
      <c r="A30" s="1"/>
      <c r="B30" s="1"/>
      <c r="C30" s="1"/>
      <c r="D30" s="1"/>
      <c r="E30" s="1"/>
    </row>
    <row r="31" spans="1:5" ht="12.75">
      <c r="A31" s="19"/>
      <c r="E31" s="23"/>
    </row>
    <row r="33" spans="1:2" ht="14.25">
      <c r="A33" s="20"/>
      <c r="B33" s="21"/>
    </row>
    <row r="34" spans="1:5" ht="15">
      <c r="A34" s="1"/>
      <c r="B34" s="1"/>
      <c r="C34" s="1"/>
      <c r="D34" s="1"/>
      <c r="E34" s="1"/>
    </row>
    <row r="35" spans="1:5" ht="12.75">
      <c r="A35" s="19"/>
      <c r="E35" s="23"/>
    </row>
    <row r="36" spans="1:5" ht="12.75">
      <c r="A36" s="19"/>
      <c r="E36" s="23"/>
    </row>
  </sheetData>
  <sheetProtection/>
  <mergeCells count="14"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M24" sqref="M24"/>
    </sheetView>
  </sheetViews>
  <sheetFormatPr defaultColWidth="9.125" defaultRowHeight="12.75"/>
  <cols>
    <col min="1" max="1" width="26.00390625" style="4" bestFit="1" customWidth="1"/>
    <col min="2" max="2" width="29.00390625" style="4" bestFit="1" customWidth="1"/>
    <col min="3" max="3" width="10.625" style="4" bestFit="1" customWidth="1"/>
    <col min="4" max="4" width="9.25390625" style="4" bestFit="1" customWidth="1"/>
    <col min="5" max="5" width="31.75390625" style="4" bestFit="1" customWidth="1"/>
    <col min="6" max="6" width="30.2539062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30.125" style="4" bestFit="1" customWidth="1"/>
    <col min="14" max="16384" width="9.125" style="3" customWidth="1"/>
  </cols>
  <sheetData>
    <row r="1" spans="1:13" s="2" customFormat="1" ht="28.5" customHeight="1">
      <c r="A1" s="42" t="s">
        <v>344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6</v>
      </c>
      <c r="C3" s="50" t="s">
        <v>7</v>
      </c>
      <c r="D3" s="36" t="s">
        <v>10</v>
      </c>
      <c r="E3" s="36" t="s">
        <v>4</v>
      </c>
      <c r="F3" s="36" t="s">
        <v>8</v>
      </c>
      <c r="G3" s="36" t="s">
        <v>345</v>
      </c>
      <c r="H3" s="36"/>
      <c r="I3" s="36"/>
      <c r="J3" s="36"/>
      <c r="K3" s="36" t="s">
        <v>50</v>
      </c>
      <c r="L3" s="36" t="s">
        <v>3</v>
      </c>
      <c r="M3" s="38" t="s">
        <v>2</v>
      </c>
    </row>
    <row r="4" spans="1:13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2" ht="15">
      <c r="A5" s="40" t="s">
        <v>124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3" ht="12.75">
      <c r="A6" s="7" t="s">
        <v>346</v>
      </c>
      <c r="B6" s="7" t="s">
        <v>126</v>
      </c>
      <c r="C6" s="7" t="s">
        <v>347</v>
      </c>
      <c r="D6" s="7" t="str">
        <f>"0,8100"</f>
        <v>0,8100</v>
      </c>
      <c r="E6" s="7" t="s">
        <v>128</v>
      </c>
      <c r="F6" s="7" t="s">
        <v>129</v>
      </c>
      <c r="G6" s="8" t="s">
        <v>348</v>
      </c>
      <c r="H6" s="8" t="s">
        <v>348</v>
      </c>
      <c r="I6" s="8"/>
      <c r="J6" s="8"/>
      <c r="K6" s="7" t="str">
        <f>"0.00"</f>
        <v>0.00</v>
      </c>
      <c r="L6" s="9" t="str">
        <f>"0,0000"</f>
        <v>0,0000</v>
      </c>
      <c r="M6" s="7" t="s">
        <v>131</v>
      </c>
    </row>
    <row r="8" spans="1:12" ht="15">
      <c r="A8" s="52" t="s">
        <v>111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 ht="12.75">
      <c r="A9" s="7" t="s">
        <v>349</v>
      </c>
      <c r="B9" s="7" t="s">
        <v>350</v>
      </c>
      <c r="C9" s="7" t="s">
        <v>351</v>
      </c>
      <c r="D9" s="7" t="str">
        <f>"0,8853"</f>
        <v>0,8853</v>
      </c>
      <c r="E9" s="7" t="s">
        <v>16</v>
      </c>
      <c r="F9" s="7" t="s">
        <v>352</v>
      </c>
      <c r="G9" s="9" t="s">
        <v>108</v>
      </c>
      <c r="H9" s="9" t="s">
        <v>109</v>
      </c>
      <c r="I9" s="8" t="s">
        <v>115</v>
      </c>
      <c r="J9" s="8"/>
      <c r="K9" s="7" t="str">
        <f>"47,5"</f>
        <v>47,5</v>
      </c>
      <c r="L9" s="9" t="str">
        <f>"47,5185"</f>
        <v>47,5185</v>
      </c>
      <c r="M9" s="7" t="s">
        <v>21</v>
      </c>
    </row>
    <row r="11" spans="1:12" ht="15">
      <c r="A11" s="52" t="s">
        <v>141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3" ht="12.75">
      <c r="A12" s="10" t="s">
        <v>260</v>
      </c>
      <c r="B12" s="10" t="s">
        <v>261</v>
      </c>
      <c r="C12" s="10" t="s">
        <v>262</v>
      </c>
      <c r="D12" s="10" t="str">
        <f>"0,6831"</f>
        <v>0,6831</v>
      </c>
      <c r="E12" s="10" t="s">
        <v>106</v>
      </c>
      <c r="F12" s="10" t="s">
        <v>17</v>
      </c>
      <c r="G12" s="12" t="s">
        <v>116</v>
      </c>
      <c r="H12" s="12" t="s">
        <v>130</v>
      </c>
      <c r="I12" s="12" t="s">
        <v>353</v>
      </c>
      <c r="J12" s="11"/>
      <c r="K12" s="10" t="str">
        <f>"57,5"</f>
        <v>57,5</v>
      </c>
      <c r="L12" s="12" t="str">
        <f>"41,6380"</f>
        <v>41,6380</v>
      </c>
      <c r="M12" s="10" t="s">
        <v>110</v>
      </c>
    </row>
    <row r="13" spans="1:13" ht="12.75">
      <c r="A13" s="13" t="s">
        <v>354</v>
      </c>
      <c r="B13" s="13" t="s">
        <v>355</v>
      </c>
      <c r="C13" s="13" t="s">
        <v>356</v>
      </c>
      <c r="D13" s="13" t="str">
        <f>"0,6737"</f>
        <v>0,6737</v>
      </c>
      <c r="E13" s="13" t="s">
        <v>26</v>
      </c>
      <c r="F13" s="13" t="s">
        <v>56</v>
      </c>
      <c r="G13" s="15" t="s">
        <v>115</v>
      </c>
      <c r="H13" s="15" t="s">
        <v>353</v>
      </c>
      <c r="I13" s="14" t="s">
        <v>357</v>
      </c>
      <c r="J13" s="14"/>
      <c r="K13" s="13" t="str">
        <f>"57,5"</f>
        <v>57,5</v>
      </c>
      <c r="L13" s="15" t="str">
        <f>"38,7377"</f>
        <v>38,7377</v>
      </c>
      <c r="M13" s="13" t="s">
        <v>358</v>
      </c>
    </row>
    <row r="15" spans="1:12" ht="15">
      <c r="A15" s="52" t="s">
        <v>92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3" ht="12.75">
      <c r="A16" s="7" t="s">
        <v>359</v>
      </c>
      <c r="B16" s="7" t="s">
        <v>360</v>
      </c>
      <c r="C16" s="7" t="s">
        <v>361</v>
      </c>
      <c r="D16" s="7" t="str">
        <f>"0,6132"</f>
        <v>0,6132</v>
      </c>
      <c r="E16" s="7" t="s">
        <v>26</v>
      </c>
      <c r="F16" s="7" t="s">
        <v>27</v>
      </c>
      <c r="G16" s="9" t="s">
        <v>115</v>
      </c>
      <c r="H16" s="8" t="s">
        <v>357</v>
      </c>
      <c r="I16" s="8" t="s">
        <v>357</v>
      </c>
      <c r="J16" s="8"/>
      <c r="K16" s="7" t="str">
        <f>"50,0"</f>
        <v>50,0</v>
      </c>
      <c r="L16" s="9" t="str">
        <f>"30,7520"</f>
        <v>30,7520</v>
      </c>
      <c r="M16" s="7" t="s">
        <v>21</v>
      </c>
    </row>
    <row r="18" spans="1:12" ht="15">
      <c r="A18" s="52" t="s">
        <v>68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</row>
    <row r="19" spans="1:13" ht="12.75">
      <c r="A19" s="10" t="s">
        <v>362</v>
      </c>
      <c r="B19" s="10" t="s">
        <v>363</v>
      </c>
      <c r="C19" s="10" t="s">
        <v>364</v>
      </c>
      <c r="D19" s="10" t="str">
        <f>"0,5717"</f>
        <v>0,5717</v>
      </c>
      <c r="E19" s="10" t="s">
        <v>16</v>
      </c>
      <c r="F19" s="10" t="s">
        <v>17</v>
      </c>
      <c r="G19" s="12" t="s">
        <v>121</v>
      </c>
      <c r="H19" s="12" t="s">
        <v>122</v>
      </c>
      <c r="I19" s="12" t="s">
        <v>91</v>
      </c>
      <c r="J19" s="11"/>
      <c r="K19" s="10" t="str">
        <f>"75,0"</f>
        <v>75,0</v>
      </c>
      <c r="L19" s="12" t="str">
        <f>"43,3063"</f>
        <v>43,3063</v>
      </c>
      <c r="M19" s="10" t="s">
        <v>21</v>
      </c>
    </row>
    <row r="20" spans="1:13" ht="12.75">
      <c r="A20" s="13" t="s">
        <v>163</v>
      </c>
      <c r="B20" s="13" t="s">
        <v>164</v>
      </c>
      <c r="C20" s="13" t="s">
        <v>165</v>
      </c>
      <c r="D20" s="13" t="str">
        <f>"0,5714"</f>
        <v>0,5714</v>
      </c>
      <c r="E20" s="13" t="s">
        <v>166</v>
      </c>
      <c r="F20" s="13" t="s">
        <v>167</v>
      </c>
      <c r="G20" s="15" t="s">
        <v>121</v>
      </c>
      <c r="H20" s="15" t="s">
        <v>91</v>
      </c>
      <c r="I20" s="14" t="s">
        <v>252</v>
      </c>
      <c r="J20" s="14"/>
      <c r="K20" s="13" t="str">
        <f>"75,0"</f>
        <v>75,0</v>
      </c>
      <c r="L20" s="15" t="str">
        <f>"42,8550"</f>
        <v>42,8550</v>
      </c>
      <c r="M20" s="13" t="s">
        <v>168</v>
      </c>
    </row>
    <row r="22" spans="1:12" ht="15">
      <c r="A22" s="52" t="s">
        <v>52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</row>
    <row r="23" spans="1:13" ht="12.75">
      <c r="A23" s="7" t="s">
        <v>169</v>
      </c>
      <c r="B23" s="7" t="s">
        <v>170</v>
      </c>
      <c r="C23" s="7" t="s">
        <v>365</v>
      </c>
      <c r="D23" s="7" t="str">
        <f>"0,5461"</f>
        <v>0,5461</v>
      </c>
      <c r="E23" s="7" t="s">
        <v>128</v>
      </c>
      <c r="F23" s="7" t="s">
        <v>17</v>
      </c>
      <c r="G23" s="9" t="s">
        <v>120</v>
      </c>
      <c r="H23" s="9" t="s">
        <v>217</v>
      </c>
      <c r="I23" s="8" t="s">
        <v>366</v>
      </c>
      <c r="J23" s="8"/>
      <c r="K23" s="7" t="str">
        <f>"72,5"</f>
        <v>72,5</v>
      </c>
      <c r="L23" s="9" t="str">
        <f>"39,5923"</f>
        <v>39,5923</v>
      </c>
      <c r="M23" s="7" t="s">
        <v>131</v>
      </c>
    </row>
    <row r="25" spans="5:6" ht="15">
      <c r="E25" s="16" t="s">
        <v>36</v>
      </c>
      <c r="F25" s="16" t="s">
        <v>413</v>
      </c>
    </row>
    <row r="26" spans="5:6" ht="15">
      <c r="E26" s="16" t="s">
        <v>37</v>
      </c>
      <c r="F26" s="16" t="s">
        <v>414</v>
      </c>
    </row>
    <row r="27" spans="5:6" ht="15">
      <c r="E27" s="16" t="s">
        <v>38</v>
      </c>
      <c r="F27" s="16" t="s">
        <v>415</v>
      </c>
    </row>
    <row r="28" spans="5:6" ht="15">
      <c r="E28" s="16" t="s">
        <v>39</v>
      </c>
      <c r="F28" s="16" t="s">
        <v>416</v>
      </c>
    </row>
    <row r="29" spans="5:6" ht="15">
      <c r="E29" s="16" t="s">
        <v>39</v>
      </c>
      <c r="F29" s="16" t="s">
        <v>417</v>
      </c>
    </row>
    <row r="30" spans="5:6" ht="15">
      <c r="E30" s="16" t="s">
        <v>40</v>
      </c>
      <c r="F30" s="16" t="s">
        <v>418</v>
      </c>
    </row>
    <row r="31" ht="15">
      <c r="E31" s="16"/>
    </row>
    <row r="33" spans="1:2" ht="18">
      <c r="A33" s="17"/>
      <c r="B33" s="17"/>
    </row>
    <row r="34" spans="1:2" ht="15">
      <c r="A34" s="18"/>
      <c r="B34" s="18"/>
    </row>
    <row r="35" spans="1:2" ht="14.25">
      <c r="A35" s="20"/>
      <c r="B35" s="21"/>
    </row>
    <row r="36" spans="1:5" ht="15">
      <c r="A36" s="1"/>
      <c r="B36" s="1"/>
      <c r="C36" s="1"/>
      <c r="D36" s="1"/>
      <c r="E36" s="1"/>
    </row>
    <row r="37" spans="1:5" ht="12.75">
      <c r="A37" s="19"/>
      <c r="E37" s="23"/>
    </row>
    <row r="38" spans="1:5" ht="12.75">
      <c r="A38" s="19"/>
      <c r="E38" s="23"/>
    </row>
    <row r="40" spans="1:2" ht="14.25">
      <c r="A40" s="20"/>
      <c r="B40" s="21"/>
    </row>
    <row r="41" spans="1:5" ht="15">
      <c r="A41" s="1"/>
      <c r="B41" s="1"/>
      <c r="C41" s="1"/>
      <c r="D41" s="1"/>
      <c r="E41" s="1"/>
    </row>
    <row r="42" spans="1:5" ht="12.75">
      <c r="A42" s="19"/>
      <c r="E42" s="23"/>
    </row>
    <row r="44" spans="1:2" ht="14.25">
      <c r="A44" s="20"/>
      <c r="B44" s="21"/>
    </row>
    <row r="45" spans="1:5" ht="15">
      <c r="A45" s="1"/>
      <c r="B45" s="1"/>
      <c r="C45" s="1"/>
      <c r="D45" s="1"/>
      <c r="E45" s="1"/>
    </row>
    <row r="46" spans="1:5" ht="12.75">
      <c r="A46" s="19"/>
      <c r="E46" s="23"/>
    </row>
    <row r="47" spans="1:5" ht="12.75">
      <c r="A47" s="19"/>
      <c r="E47" s="23"/>
    </row>
    <row r="48" spans="1:5" ht="12.75">
      <c r="A48" s="19"/>
      <c r="E48" s="23"/>
    </row>
    <row r="50" spans="1:2" ht="14.25">
      <c r="A50" s="20"/>
      <c r="B50" s="21"/>
    </row>
    <row r="51" spans="1:5" ht="15">
      <c r="A51" s="1"/>
      <c r="B51" s="1"/>
      <c r="C51" s="1"/>
      <c r="D51" s="1"/>
      <c r="E51" s="1"/>
    </row>
    <row r="52" spans="1:5" ht="12.75">
      <c r="A52" s="19"/>
      <c r="E52" s="23"/>
    </row>
  </sheetData>
  <sheetProtection/>
  <mergeCells count="17"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A15:L15"/>
    <mergeCell ref="A18:L18"/>
    <mergeCell ref="A22:L22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7" sqref="A17:E27"/>
    </sheetView>
  </sheetViews>
  <sheetFormatPr defaultColWidth="9.1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21.875" style="4" bestFit="1" customWidth="1"/>
    <col min="7" max="7" width="4.625" style="3" bestFit="1" customWidth="1"/>
    <col min="8" max="8" width="4.625" style="29" bestFit="1" customWidth="1"/>
    <col min="9" max="9" width="7.875" style="4" bestFit="1" customWidth="1"/>
    <col min="10" max="10" width="9.625" style="3" bestFit="1" customWidth="1"/>
    <col min="11" max="11" width="15.75390625" style="4" bestFit="1" customWidth="1"/>
    <col min="12" max="16384" width="9.125" style="3" customWidth="1"/>
  </cols>
  <sheetData>
    <row r="1" spans="1:11" s="2" customFormat="1" ht="28.5" customHeight="1">
      <c r="A1" s="42" t="s">
        <v>339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61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>
      <c r="A3" s="48" t="s">
        <v>0</v>
      </c>
      <c r="B3" s="50" t="s">
        <v>6</v>
      </c>
      <c r="C3" s="50" t="s">
        <v>7</v>
      </c>
      <c r="D3" s="36" t="s">
        <v>333</v>
      </c>
      <c r="E3" s="36" t="s">
        <v>4</v>
      </c>
      <c r="F3" s="36" t="s">
        <v>8</v>
      </c>
      <c r="G3" s="36" t="s">
        <v>335</v>
      </c>
      <c r="H3" s="36"/>
      <c r="I3" s="36" t="s">
        <v>338</v>
      </c>
      <c r="J3" s="36" t="s">
        <v>3</v>
      </c>
      <c r="K3" s="38" t="s">
        <v>2</v>
      </c>
    </row>
    <row r="4" spans="1:11" s="1" customFormat="1" ht="21" customHeight="1" thickBot="1">
      <c r="A4" s="49"/>
      <c r="B4" s="37"/>
      <c r="C4" s="37"/>
      <c r="D4" s="37"/>
      <c r="E4" s="37"/>
      <c r="F4" s="37"/>
      <c r="G4" s="5" t="s">
        <v>336</v>
      </c>
      <c r="H4" s="27" t="s">
        <v>337</v>
      </c>
      <c r="I4" s="37"/>
      <c r="J4" s="37"/>
      <c r="K4" s="39"/>
    </row>
    <row r="5" spans="1:10" ht="15">
      <c r="A5" s="40" t="s">
        <v>92</v>
      </c>
      <c r="B5" s="41"/>
      <c r="C5" s="41"/>
      <c r="D5" s="41"/>
      <c r="E5" s="41"/>
      <c r="F5" s="41"/>
      <c r="G5" s="41"/>
      <c r="H5" s="41"/>
      <c r="I5" s="41"/>
      <c r="J5" s="41"/>
    </row>
    <row r="6" spans="1:11" ht="12.75">
      <c r="A6" s="7" t="s">
        <v>340</v>
      </c>
      <c r="B6" s="7" t="s">
        <v>341</v>
      </c>
      <c r="C6" s="7" t="s">
        <v>342</v>
      </c>
      <c r="D6" s="7" t="str">
        <f>"0,7557"</f>
        <v>0,7557</v>
      </c>
      <c r="E6" s="7" t="s">
        <v>16</v>
      </c>
      <c r="F6" s="7" t="s">
        <v>17</v>
      </c>
      <c r="G6" s="9" t="s">
        <v>212</v>
      </c>
      <c r="H6" s="28" t="s">
        <v>343</v>
      </c>
      <c r="I6" s="7" t="str">
        <f>"2720,0"</f>
        <v>2720,0</v>
      </c>
      <c r="J6" s="9" t="str">
        <f>"2055,5040"</f>
        <v>2055,5040</v>
      </c>
      <c r="K6" s="7" t="s">
        <v>21</v>
      </c>
    </row>
    <row r="8" spans="5:6" ht="15">
      <c r="E8" s="16" t="s">
        <v>36</v>
      </c>
      <c r="F8" s="16" t="s">
        <v>413</v>
      </c>
    </row>
    <row r="9" spans="5:6" ht="15">
      <c r="E9" s="16" t="s">
        <v>37</v>
      </c>
      <c r="F9" s="16" t="s">
        <v>414</v>
      </c>
    </row>
    <row r="10" spans="5:6" ht="15">
      <c r="E10" s="16" t="s">
        <v>38</v>
      </c>
      <c r="F10" s="16" t="s">
        <v>415</v>
      </c>
    </row>
    <row r="11" spans="5:6" ht="15">
      <c r="E11" s="16" t="s">
        <v>39</v>
      </c>
      <c r="F11" s="16" t="s">
        <v>416</v>
      </c>
    </row>
    <row r="12" spans="5:6" ht="15">
      <c r="E12" s="16" t="s">
        <v>39</v>
      </c>
      <c r="F12" s="16" t="s">
        <v>417</v>
      </c>
    </row>
    <row r="13" spans="5:6" ht="15">
      <c r="E13" s="16" t="s">
        <v>40</v>
      </c>
      <c r="F13" s="16" t="s">
        <v>418</v>
      </c>
    </row>
    <row r="14" ht="15">
      <c r="E14" s="16"/>
    </row>
    <row r="16" spans="1:2" ht="18">
      <c r="A16" s="17"/>
      <c r="B16" s="17"/>
    </row>
    <row r="17" spans="1:2" ht="15">
      <c r="A17" s="18"/>
      <c r="B17" s="18"/>
    </row>
    <row r="18" spans="1:2" ht="14.25">
      <c r="A18" s="20"/>
      <c r="B18" s="21"/>
    </row>
    <row r="19" spans="1:5" ht="15">
      <c r="A19" s="1"/>
      <c r="B19" s="1"/>
      <c r="C19" s="1"/>
      <c r="D19" s="1"/>
      <c r="E19" s="1"/>
    </row>
    <row r="20" spans="1:5" ht="12.75">
      <c r="A20" s="19"/>
      <c r="E20" s="23"/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2019-09-03T13:32:01Z</dcterms:modified>
  <cp:category/>
  <cp:version/>
  <cp:contentType/>
  <cp:contentStatus/>
</cp:coreProperties>
</file>